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codeName="ThisWorkbook" defaultThemeVersion="166925"/>
  <mc:AlternateContent xmlns:mc="http://schemas.openxmlformats.org/markup-compatibility/2006">
    <mc:Choice Requires="x15">
      <x15ac:absPath xmlns:x15ac="http://schemas.microsoft.com/office/spreadsheetml/2010/11/ac" url="/Users/rusebastian/Downloads/"/>
    </mc:Choice>
  </mc:AlternateContent>
  <xr:revisionPtr revIDLastSave="0" documentId="8_{2056DB96-5B9F-8D41-BE91-79F0C0C7918E}" xr6:coauthVersionLast="47" xr6:coauthVersionMax="47" xr10:uidLastSave="{00000000-0000-0000-0000-000000000000}"/>
  <bookViews>
    <workbookView xWindow="760" yWindow="760" windowWidth="22080" windowHeight="12240" tabRatio="974" xr2:uid="{A6436E96-653A-49DB-A145-5D07466CDCD2}"/>
  </bookViews>
  <sheets>
    <sheet name="Raw data" sheetId="1" r:id="rId1"/>
    <sheet name="Counts for summary" sheetId="14" r:id="rId2"/>
    <sheet name="Component compliance summary" sheetId="2" r:id="rId3"/>
    <sheet name="Component compliance" sheetId="12" r:id="rId4"/>
    <sheet name="Component compliance per ward" sheetId="15" r:id="rId5"/>
    <sheet name="Transfusion priority" sheetId="5" r:id="rId6"/>
    <sheet name="Ward Area" sheetId="6" r:id="rId7"/>
    <sheet name="Component type" sheetId="7" r:id="rId8"/>
    <sheet name="Product type" sheetId="11" r:id="rId9"/>
  </sheets>
  <definedNames>
    <definedName name="_xlnm._FilterDatabase" localSheetId="0" hidden="1">'Raw data'!$A$1:$CX$1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4" i="15" l="1"/>
  <c r="R54" i="15"/>
  <c r="P54" i="15"/>
  <c r="N54" i="15"/>
  <c r="L54" i="15"/>
  <c r="J54" i="15"/>
  <c r="H54" i="15"/>
  <c r="F54" i="15"/>
  <c r="D54" i="15"/>
  <c r="B54" i="15"/>
  <c r="T53" i="15"/>
  <c r="R53" i="15"/>
  <c r="P53" i="15"/>
  <c r="N53" i="15"/>
  <c r="L53" i="15"/>
  <c r="J53" i="15"/>
  <c r="H53" i="15"/>
  <c r="F53" i="15"/>
  <c r="D53" i="15"/>
  <c r="B53" i="15"/>
  <c r="T52" i="15"/>
  <c r="R52" i="15"/>
  <c r="P52" i="15"/>
  <c r="N52" i="15"/>
  <c r="L52" i="15"/>
  <c r="J52" i="15"/>
  <c r="H52" i="15"/>
  <c r="F52" i="15"/>
  <c r="D52" i="15"/>
  <c r="B52" i="15"/>
  <c r="T51" i="15"/>
  <c r="R51" i="15"/>
  <c r="P51" i="15"/>
  <c r="N51" i="15"/>
  <c r="L51" i="15"/>
  <c r="J51" i="15"/>
  <c r="H51" i="15"/>
  <c r="F51" i="15"/>
  <c r="D51" i="15"/>
  <c r="B51" i="15"/>
  <c r="T50" i="15"/>
  <c r="R50" i="15"/>
  <c r="P50" i="15"/>
  <c r="N50" i="15"/>
  <c r="L50" i="15"/>
  <c r="J50" i="15"/>
  <c r="H50" i="15"/>
  <c r="F50" i="15"/>
  <c r="D50" i="15"/>
  <c r="B50" i="15"/>
  <c r="T49" i="15"/>
  <c r="R49" i="15"/>
  <c r="P49" i="15"/>
  <c r="N49" i="15"/>
  <c r="L49" i="15"/>
  <c r="J49" i="15"/>
  <c r="H49" i="15"/>
  <c r="F49" i="15"/>
  <c r="D49" i="15"/>
  <c r="B49" i="15"/>
  <c r="T46" i="15"/>
  <c r="R46" i="15"/>
  <c r="P46" i="15"/>
  <c r="N46" i="15"/>
  <c r="L46" i="15"/>
  <c r="J46" i="15"/>
  <c r="H46" i="15"/>
  <c r="F46" i="15"/>
  <c r="D46" i="15"/>
  <c r="B46" i="15"/>
  <c r="T45" i="15"/>
  <c r="R45" i="15"/>
  <c r="P45" i="15"/>
  <c r="N45" i="15"/>
  <c r="L45" i="15"/>
  <c r="J45" i="15"/>
  <c r="H45" i="15"/>
  <c r="F45" i="15"/>
  <c r="D45" i="15"/>
  <c r="B45" i="15"/>
  <c r="T44" i="15"/>
  <c r="R44" i="15"/>
  <c r="P44" i="15"/>
  <c r="N44" i="15"/>
  <c r="L44" i="15"/>
  <c r="J44" i="15"/>
  <c r="H44" i="15"/>
  <c r="F44" i="15"/>
  <c r="D44" i="15"/>
  <c r="B44" i="15"/>
  <c r="T43" i="15"/>
  <c r="R43" i="15"/>
  <c r="P43" i="15"/>
  <c r="N43" i="15"/>
  <c r="L43" i="15"/>
  <c r="J43" i="15"/>
  <c r="H43" i="15"/>
  <c r="F43" i="15"/>
  <c r="D43" i="15"/>
  <c r="B43" i="15"/>
  <c r="T42" i="15"/>
  <c r="R42" i="15"/>
  <c r="P42" i="15"/>
  <c r="N42" i="15"/>
  <c r="L42" i="15"/>
  <c r="J42" i="15"/>
  <c r="H42" i="15"/>
  <c r="F42" i="15"/>
  <c r="D42" i="15"/>
  <c r="B42" i="15"/>
  <c r="T41" i="15"/>
  <c r="R41" i="15"/>
  <c r="P41" i="15"/>
  <c r="N41" i="15"/>
  <c r="L41" i="15"/>
  <c r="J41" i="15"/>
  <c r="H41" i="15"/>
  <c r="F41" i="15"/>
  <c r="D41" i="15"/>
  <c r="B41" i="15"/>
  <c r="T40" i="15"/>
  <c r="R40" i="15"/>
  <c r="P40" i="15"/>
  <c r="N40" i="15"/>
  <c r="L40" i="15"/>
  <c r="J40" i="15"/>
  <c r="H40" i="15"/>
  <c r="F40" i="15"/>
  <c r="D40" i="15"/>
  <c r="B40" i="15"/>
  <c r="T39" i="15"/>
  <c r="R39" i="15"/>
  <c r="P39" i="15"/>
  <c r="N39" i="15"/>
  <c r="L39" i="15"/>
  <c r="J39" i="15"/>
  <c r="H39" i="15"/>
  <c r="F39" i="15"/>
  <c r="D39" i="15"/>
  <c r="B39" i="15"/>
  <c r="T38" i="15"/>
  <c r="R38" i="15"/>
  <c r="P38" i="15"/>
  <c r="N38" i="15"/>
  <c r="L38" i="15"/>
  <c r="J38" i="15"/>
  <c r="H38" i="15"/>
  <c r="F38" i="15"/>
  <c r="D38" i="15"/>
  <c r="B38" i="15"/>
  <c r="T35" i="15"/>
  <c r="R35" i="15"/>
  <c r="P35" i="15"/>
  <c r="N35" i="15"/>
  <c r="L35" i="15"/>
  <c r="J35" i="15"/>
  <c r="H35" i="15"/>
  <c r="F35" i="15"/>
  <c r="D35" i="15"/>
  <c r="B35" i="15"/>
  <c r="T34" i="15"/>
  <c r="R34" i="15"/>
  <c r="P34" i="15"/>
  <c r="N34" i="15"/>
  <c r="L34" i="15"/>
  <c r="J34" i="15"/>
  <c r="H34" i="15"/>
  <c r="F34" i="15"/>
  <c r="D34" i="15"/>
  <c r="B34" i="15"/>
  <c r="T33" i="15"/>
  <c r="R33" i="15"/>
  <c r="P33" i="15"/>
  <c r="N33" i="15"/>
  <c r="L33" i="15"/>
  <c r="J33" i="15"/>
  <c r="H33" i="15"/>
  <c r="F33" i="15"/>
  <c r="D33" i="15"/>
  <c r="B33" i="15"/>
  <c r="T32" i="15"/>
  <c r="R32" i="15"/>
  <c r="P32" i="15"/>
  <c r="N32" i="15"/>
  <c r="L32" i="15"/>
  <c r="J32" i="15"/>
  <c r="H32" i="15"/>
  <c r="F32" i="15"/>
  <c r="D32" i="15"/>
  <c r="B32" i="15"/>
  <c r="T31" i="15"/>
  <c r="R31" i="15"/>
  <c r="P31" i="15"/>
  <c r="N31" i="15"/>
  <c r="L31" i="15"/>
  <c r="J31" i="15"/>
  <c r="H31" i="15"/>
  <c r="F31" i="15"/>
  <c r="D31" i="15"/>
  <c r="B31" i="15"/>
  <c r="T30" i="15"/>
  <c r="R30" i="15"/>
  <c r="P30" i="15"/>
  <c r="N30" i="15"/>
  <c r="L30" i="15"/>
  <c r="J30" i="15"/>
  <c r="H30" i="15"/>
  <c r="F30" i="15"/>
  <c r="D30" i="15"/>
  <c r="B30" i="15"/>
  <c r="T27" i="15"/>
  <c r="R27" i="15"/>
  <c r="P27" i="15"/>
  <c r="N27" i="15"/>
  <c r="L27" i="15"/>
  <c r="J27" i="15"/>
  <c r="H27" i="15"/>
  <c r="F27" i="15"/>
  <c r="D27" i="15"/>
  <c r="B27" i="15"/>
  <c r="T26" i="15"/>
  <c r="R26" i="15"/>
  <c r="P26" i="15"/>
  <c r="N26" i="15"/>
  <c r="L26" i="15"/>
  <c r="J26" i="15"/>
  <c r="H26" i="15"/>
  <c r="F26" i="15"/>
  <c r="D26" i="15"/>
  <c r="B26" i="15"/>
  <c r="T23" i="15"/>
  <c r="R23" i="15"/>
  <c r="P23" i="15"/>
  <c r="N23" i="15"/>
  <c r="L23" i="15"/>
  <c r="J23" i="15"/>
  <c r="H23" i="15"/>
  <c r="F23" i="15"/>
  <c r="D23" i="15"/>
  <c r="B23" i="15"/>
  <c r="T22" i="15"/>
  <c r="R22" i="15"/>
  <c r="P22" i="15"/>
  <c r="N22" i="15"/>
  <c r="L22" i="15"/>
  <c r="J22" i="15"/>
  <c r="H22" i="15"/>
  <c r="F22" i="15"/>
  <c r="D22" i="15"/>
  <c r="B22" i="15"/>
  <c r="T19" i="15"/>
  <c r="R19" i="15"/>
  <c r="P19" i="15"/>
  <c r="N19" i="15"/>
  <c r="L19" i="15"/>
  <c r="J19" i="15"/>
  <c r="H19" i="15"/>
  <c r="F19" i="15"/>
  <c r="D19" i="15"/>
  <c r="B19" i="15"/>
  <c r="T16" i="15"/>
  <c r="R16" i="15"/>
  <c r="P16" i="15"/>
  <c r="N16" i="15"/>
  <c r="L16" i="15"/>
  <c r="J16" i="15"/>
  <c r="H16" i="15"/>
  <c r="F16" i="15"/>
  <c r="D16" i="15"/>
  <c r="B16" i="15"/>
  <c r="T15" i="15"/>
  <c r="R15" i="15"/>
  <c r="P15" i="15"/>
  <c r="N15" i="15"/>
  <c r="L15" i="15"/>
  <c r="J15" i="15"/>
  <c r="H15" i="15"/>
  <c r="F15" i="15"/>
  <c r="D15" i="15"/>
  <c r="B15" i="15"/>
  <c r="T14" i="15"/>
  <c r="R14" i="15"/>
  <c r="P14" i="15"/>
  <c r="N14" i="15"/>
  <c r="L14" i="15"/>
  <c r="J14" i="15"/>
  <c r="H14" i="15"/>
  <c r="F14" i="15"/>
  <c r="D14" i="15"/>
  <c r="B14" i="15"/>
  <c r="T13" i="15"/>
  <c r="R13" i="15"/>
  <c r="P13" i="15"/>
  <c r="N13" i="15"/>
  <c r="L13" i="15"/>
  <c r="J13" i="15"/>
  <c r="H13" i="15"/>
  <c r="F13" i="15"/>
  <c r="D13" i="15"/>
  <c r="B13" i="15"/>
  <c r="T12" i="15"/>
  <c r="R12" i="15"/>
  <c r="P12" i="15"/>
  <c r="N12" i="15"/>
  <c r="L12" i="15"/>
  <c r="J12" i="15"/>
  <c r="H12" i="15"/>
  <c r="F12" i="15"/>
  <c r="D12" i="15"/>
  <c r="B12" i="15"/>
  <c r="T10" i="15"/>
  <c r="R10" i="15"/>
  <c r="P10" i="15"/>
  <c r="N10" i="15"/>
  <c r="L10" i="15"/>
  <c r="J10" i="15"/>
  <c r="H10" i="15"/>
  <c r="F10" i="15"/>
  <c r="D10" i="15"/>
  <c r="B10" i="15"/>
  <c r="T6" i="15"/>
  <c r="R6" i="15"/>
  <c r="P6" i="15"/>
  <c r="N6" i="15"/>
  <c r="L6" i="15"/>
  <c r="J6" i="15"/>
  <c r="H6" i="15"/>
  <c r="F6" i="15"/>
  <c r="D6" i="15"/>
  <c r="B6" i="15"/>
  <c r="D68" i="14"/>
  <c r="C10" i="12" s="1"/>
  <c r="A9" i="11"/>
  <c r="A8" i="11"/>
  <c r="A7" i="11"/>
  <c r="A6" i="11"/>
  <c r="A5" i="11"/>
  <c r="A57" i="6"/>
  <c r="A56" i="6"/>
  <c r="A55" i="6"/>
  <c r="A54" i="6"/>
  <c r="A53" i="6"/>
  <c r="A52" i="6"/>
  <c r="A51" i="6"/>
  <c r="A50" i="6"/>
  <c r="A49" i="6"/>
  <c r="A48" i="6"/>
  <c r="A33" i="6"/>
  <c r="A32" i="6"/>
  <c r="A31" i="6"/>
  <c r="A30" i="6"/>
  <c r="A29" i="6"/>
  <c r="A28" i="6"/>
  <c r="A27" i="6"/>
  <c r="A26" i="6"/>
  <c r="A25" i="6"/>
  <c r="A24" i="6"/>
  <c r="A14" i="6"/>
  <c r="A13" i="6"/>
  <c r="A12" i="6"/>
  <c r="A11" i="6"/>
  <c r="A10" i="6"/>
  <c r="A9" i="6"/>
  <c r="A8" i="6"/>
  <c r="A7" i="6"/>
  <c r="A6" i="6"/>
  <c r="A5" i="6"/>
  <c r="B1" i="14" l="1"/>
  <c r="B2" i="15" l="1"/>
  <c r="B2" i="12"/>
  <c r="B3" i="5"/>
  <c r="D106" i="14"/>
  <c r="C77" i="12" s="1"/>
  <c r="D98" i="14"/>
  <c r="C56" i="12" s="1"/>
  <c r="D85" i="14"/>
  <c r="C33" i="12" s="1"/>
  <c r="D90" i="14"/>
  <c r="C41" i="12" s="1"/>
  <c r="D80" i="14"/>
  <c r="C26" i="12" s="1"/>
  <c r="B19" i="12"/>
  <c r="D109" i="14"/>
  <c r="B80" i="12" s="1"/>
  <c r="D110" i="14"/>
  <c r="B81" i="12" s="1"/>
  <c r="D108" i="14"/>
  <c r="B79" i="12" s="1"/>
  <c r="D107" i="14"/>
  <c r="B78" i="12" s="1"/>
  <c r="D71" i="14"/>
  <c r="C13" i="12" s="1"/>
  <c r="D70" i="14"/>
  <c r="C12" i="12" s="1"/>
  <c r="D69" i="14"/>
  <c r="C11" i="12" s="1"/>
  <c r="E76" i="14"/>
  <c r="E75" i="14"/>
  <c r="E74" i="14"/>
  <c r="E103" i="14"/>
  <c r="E104" i="14"/>
  <c r="E102" i="14"/>
  <c r="E101" i="14"/>
  <c r="E100" i="14"/>
  <c r="E99" i="14"/>
  <c r="D104" i="14"/>
  <c r="B62" i="12" s="1"/>
  <c r="D103" i="14"/>
  <c r="B61" i="12" s="1"/>
  <c r="D102" i="14"/>
  <c r="B60" i="12" s="1"/>
  <c r="D101" i="14"/>
  <c r="B59" i="12" s="1"/>
  <c r="D100" i="14"/>
  <c r="B58" i="12" s="1"/>
  <c r="D99" i="14"/>
  <c r="B57" i="12" s="1"/>
  <c r="E96" i="14"/>
  <c r="E95" i="14"/>
  <c r="E94" i="14"/>
  <c r="D92" i="14"/>
  <c r="B43" i="12" s="1"/>
  <c r="D91" i="14"/>
  <c r="B42" i="12" s="1"/>
  <c r="D88" i="14"/>
  <c r="B36" i="12" s="1"/>
  <c r="D87" i="14"/>
  <c r="B35" i="12" s="1"/>
  <c r="D86" i="14"/>
  <c r="B34" i="12" s="1"/>
  <c r="E83" i="14"/>
  <c r="E82" i="14"/>
  <c r="E81" i="14"/>
  <c r="D83" i="14"/>
  <c r="B29" i="12" s="1"/>
  <c r="D82" i="14"/>
  <c r="B28" i="12" s="1"/>
  <c r="D81" i="14"/>
  <c r="B27" i="12" s="1"/>
  <c r="P64" i="14"/>
  <c r="O64" i="14"/>
  <c r="P63" i="14"/>
  <c r="O63" i="14"/>
  <c r="P61" i="14"/>
  <c r="O61" i="14"/>
  <c r="N61" i="14"/>
  <c r="P59" i="14"/>
  <c r="O59" i="14"/>
  <c r="N59" i="14"/>
  <c r="M59" i="14"/>
  <c r="P57" i="14"/>
  <c r="O57" i="14"/>
  <c r="N57" i="14"/>
  <c r="L57" i="14"/>
  <c r="K56" i="14"/>
  <c r="B68" i="12" s="1"/>
  <c r="J56" i="14"/>
  <c r="B67" i="12" s="1"/>
  <c r="G56" i="14"/>
  <c r="B69" i="12" s="1"/>
  <c r="P55" i="14"/>
  <c r="O55" i="14"/>
  <c r="P54" i="14"/>
  <c r="O54" i="14"/>
  <c r="N54" i="14"/>
  <c r="F53" i="14"/>
  <c r="P52" i="14"/>
  <c r="O52" i="14"/>
  <c r="N52" i="14"/>
  <c r="D52" i="14"/>
  <c r="I51" i="14"/>
  <c r="P50" i="14"/>
  <c r="O50" i="14"/>
  <c r="P48" i="14"/>
  <c r="O48" i="14"/>
  <c r="K47" i="14"/>
  <c r="J47" i="14"/>
  <c r="C52" i="12" s="1"/>
  <c r="P46" i="14"/>
  <c r="O46" i="14"/>
  <c r="N46" i="14"/>
  <c r="K45" i="14"/>
  <c r="J45" i="14"/>
  <c r="C51" i="12" s="1"/>
  <c r="P44" i="14"/>
  <c r="O44" i="14"/>
  <c r="N44" i="14"/>
  <c r="F44" i="14"/>
  <c r="D44" i="14"/>
  <c r="K43" i="14"/>
  <c r="J43" i="14"/>
  <c r="C50" i="12" s="1"/>
  <c r="E43" i="14"/>
  <c r="P42" i="14"/>
  <c r="O42" i="14"/>
  <c r="N42" i="14"/>
  <c r="K42" i="14"/>
  <c r="J42" i="14"/>
  <c r="C49" i="12" s="1"/>
  <c r="I42" i="14"/>
  <c r="P41" i="14"/>
  <c r="O41" i="14"/>
  <c r="K40" i="14"/>
  <c r="J40" i="14"/>
  <c r="C46" i="12" s="1"/>
  <c r="P39" i="14"/>
  <c r="O39" i="14"/>
  <c r="N39" i="14"/>
  <c r="K38" i="14"/>
  <c r="J38" i="14"/>
  <c r="C45" i="12" s="1"/>
  <c r="P37" i="14"/>
  <c r="O37" i="14"/>
  <c r="K36" i="14"/>
  <c r="J36" i="14"/>
  <c r="C44" i="12" s="1"/>
  <c r="K35" i="14"/>
  <c r="B40" i="12" s="1"/>
  <c r="J35" i="14"/>
  <c r="I35" i="14"/>
  <c r="B38" i="12" s="1"/>
  <c r="F35" i="14"/>
  <c r="D35" i="14"/>
  <c r="E35" i="14"/>
  <c r="P34" i="14"/>
  <c r="O34" i="14"/>
  <c r="K34" i="14"/>
  <c r="J34" i="14"/>
  <c r="C30" i="12" s="1"/>
  <c r="P33" i="14"/>
  <c r="O33" i="14"/>
  <c r="F33" i="14"/>
  <c r="E33" i="14"/>
  <c r="P32" i="14"/>
  <c r="O32" i="14"/>
  <c r="P30" i="14"/>
  <c r="O30" i="14"/>
  <c r="E30" i="14"/>
  <c r="K29" i="14"/>
  <c r="J29" i="14"/>
  <c r="C18" i="12" s="1"/>
  <c r="E29" i="14"/>
  <c r="P28" i="14"/>
  <c r="O28" i="14"/>
  <c r="N28" i="14"/>
  <c r="F28" i="14"/>
  <c r="D28" i="14"/>
  <c r="J27" i="14"/>
  <c r="C15" i="12" s="1"/>
  <c r="P26" i="14"/>
  <c r="P25" i="14"/>
  <c r="F25" i="14"/>
  <c r="O26" i="14"/>
  <c r="O25" i="14"/>
  <c r="K64" i="14"/>
  <c r="J64" i="14"/>
  <c r="C76" i="12" s="1"/>
  <c r="K62" i="14"/>
  <c r="J62" i="14"/>
  <c r="C75" i="12" s="1"/>
  <c r="K60" i="14"/>
  <c r="J60" i="14"/>
  <c r="C74" i="12" s="1"/>
  <c r="H58" i="14"/>
  <c r="B73" i="12" s="1"/>
  <c r="K58" i="14"/>
  <c r="B72" i="12" s="1"/>
  <c r="J58" i="14"/>
  <c r="B71" i="12" s="1"/>
  <c r="K55" i="14"/>
  <c r="J55" i="14"/>
  <c r="C63" i="12" s="1"/>
  <c r="K53" i="14"/>
  <c r="J53" i="14"/>
  <c r="C55" i="12" s="1"/>
  <c r="K51" i="14"/>
  <c r="J51" i="14"/>
  <c r="C54" i="12" s="1"/>
  <c r="K49" i="14"/>
  <c r="J49" i="14"/>
  <c r="C53" i="12" s="1"/>
  <c r="K33" i="14"/>
  <c r="J33" i="14"/>
  <c r="C23" i="12" s="1"/>
  <c r="K31" i="14"/>
  <c r="J31" i="14"/>
  <c r="C22" i="12" s="1"/>
  <c r="K27" i="14"/>
  <c r="K26" i="14"/>
  <c r="J26" i="14"/>
  <c r="C14" i="12" s="1"/>
  <c r="K25" i="14"/>
  <c r="J25" i="14"/>
  <c r="C9" i="12" s="1"/>
  <c r="F64" i="14"/>
  <c r="E64" i="14"/>
  <c r="F63" i="14"/>
  <c r="E63" i="14"/>
  <c r="F62" i="14"/>
  <c r="E62" i="14"/>
  <c r="F61" i="14"/>
  <c r="E61" i="14"/>
  <c r="D61" i="14"/>
  <c r="F60" i="14"/>
  <c r="E60" i="14"/>
  <c r="D59" i="14"/>
  <c r="C59" i="14"/>
  <c r="F59" i="14"/>
  <c r="E59" i="14"/>
  <c r="F58" i="14"/>
  <c r="E58" i="14"/>
  <c r="C58" i="14"/>
  <c r="F57" i="14"/>
  <c r="E57" i="14"/>
  <c r="D57" i="14"/>
  <c r="B57" i="14"/>
  <c r="F56" i="14"/>
  <c r="E56" i="14"/>
  <c r="B56" i="14"/>
  <c r="F55" i="14"/>
  <c r="E55" i="14"/>
  <c r="F54" i="14"/>
  <c r="E54" i="14"/>
  <c r="D54" i="14"/>
  <c r="E53" i="14"/>
  <c r="F52" i="14"/>
  <c r="E52" i="14"/>
  <c r="F51" i="14"/>
  <c r="E51" i="14"/>
  <c r="D51" i="14"/>
  <c r="F50" i="14"/>
  <c r="E50" i="14"/>
  <c r="F49" i="14"/>
  <c r="E49" i="14"/>
  <c r="F48" i="14"/>
  <c r="E48" i="14"/>
  <c r="F47" i="14"/>
  <c r="E47" i="14"/>
  <c r="F46" i="14"/>
  <c r="E46" i="14"/>
  <c r="D46" i="14"/>
  <c r="F45" i="14"/>
  <c r="E45" i="14"/>
  <c r="E44" i="14"/>
  <c r="F43" i="14"/>
  <c r="F42" i="14"/>
  <c r="E42" i="14"/>
  <c r="D42" i="14"/>
  <c r="F41" i="14"/>
  <c r="E41" i="14"/>
  <c r="F40" i="14"/>
  <c r="E40" i="14"/>
  <c r="F39" i="14"/>
  <c r="E39" i="14"/>
  <c r="D39" i="14"/>
  <c r="E38" i="14"/>
  <c r="F38" i="14"/>
  <c r="F37" i="14"/>
  <c r="E37" i="14"/>
  <c r="E36" i="14"/>
  <c r="F36" i="14"/>
  <c r="F34" i="14"/>
  <c r="E34" i="14"/>
  <c r="F32" i="14"/>
  <c r="E32" i="14"/>
  <c r="F31" i="14"/>
  <c r="E31" i="14"/>
  <c r="F30" i="14"/>
  <c r="F29" i="14"/>
  <c r="E28" i="14"/>
  <c r="F27" i="14"/>
  <c r="E27" i="14"/>
  <c r="F26" i="14"/>
  <c r="E26" i="14"/>
  <c r="E25" i="14"/>
  <c r="H21" i="14"/>
  <c r="B57" i="6" s="1"/>
  <c r="H20" i="14"/>
  <c r="B56" i="6" s="1"/>
  <c r="H19" i="14"/>
  <c r="B55" i="6" s="1"/>
  <c r="H18" i="14"/>
  <c r="B54" i="6" s="1"/>
  <c r="H17" i="14"/>
  <c r="B53" i="6" s="1"/>
  <c r="H16" i="14"/>
  <c r="B52" i="6" s="1"/>
  <c r="H15" i="14"/>
  <c r="B51" i="6" s="1"/>
  <c r="H14" i="14"/>
  <c r="B50" i="6" s="1"/>
  <c r="H13" i="14"/>
  <c r="B49" i="6" s="1"/>
  <c r="H12" i="14"/>
  <c r="B48" i="6" s="1"/>
  <c r="F21" i="14"/>
  <c r="F20" i="14"/>
  <c r="F19" i="14"/>
  <c r="F18" i="14"/>
  <c r="F17" i="14"/>
  <c r="L7" i="15" s="1"/>
  <c r="F16" i="14"/>
  <c r="F15" i="14"/>
  <c r="F14" i="14"/>
  <c r="F13" i="14"/>
  <c r="F12" i="14"/>
  <c r="C21" i="14"/>
  <c r="B14" i="6" s="1"/>
  <c r="C20" i="14"/>
  <c r="B13" i="6" s="1"/>
  <c r="C19" i="14"/>
  <c r="B12" i="6" s="1"/>
  <c r="C18" i="14"/>
  <c r="B11" i="6" s="1"/>
  <c r="C17" i="14"/>
  <c r="B10" i="6" s="1"/>
  <c r="C16" i="14"/>
  <c r="B9" i="6" s="1"/>
  <c r="C15" i="14"/>
  <c r="B8" i="6" s="1"/>
  <c r="C14" i="14"/>
  <c r="B7" i="6" s="1"/>
  <c r="C13" i="14"/>
  <c r="B6" i="6" s="1"/>
  <c r="C12" i="14"/>
  <c r="B5" i="6" s="1"/>
  <c r="M5" i="14"/>
  <c r="B23" i="5" s="1"/>
  <c r="M4" i="14"/>
  <c r="B22" i="5" s="1"/>
  <c r="M3" i="14"/>
  <c r="B21" i="5" s="1"/>
  <c r="J5" i="14"/>
  <c r="B16" i="5" s="1"/>
  <c r="J4" i="14"/>
  <c r="B15" i="5" s="1"/>
  <c r="J3" i="14"/>
  <c r="B14" i="5" s="1"/>
  <c r="G5" i="14"/>
  <c r="B8" i="5" s="1"/>
  <c r="G4" i="14"/>
  <c r="B7" i="5" s="1"/>
  <c r="G3" i="14"/>
  <c r="B6" i="5" s="1"/>
  <c r="D2" i="14"/>
  <c r="B2" i="14"/>
  <c r="B3" i="15" s="1"/>
  <c r="B6" i="14"/>
  <c r="B8" i="7" s="1"/>
  <c r="B5" i="14"/>
  <c r="B7" i="7" s="1"/>
  <c r="B4" i="14"/>
  <c r="B6" i="7" s="1"/>
  <c r="B3" i="14"/>
  <c r="B5" i="7" s="1"/>
  <c r="D7" i="14"/>
  <c r="B9" i="11" s="1"/>
  <c r="D6" i="14"/>
  <c r="B8" i="11" s="1"/>
  <c r="D5" i="14"/>
  <c r="B7" i="11" s="1"/>
  <c r="D4" i="14"/>
  <c r="B6" i="11" s="1"/>
  <c r="D3" i="14"/>
  <c r="B5" i="11" s="1"/>
  <c r="A14" i="2"/>
  <c r="A13" i="2"/>
  <c r="B27" i="6" l="1"/>
  <c r="H7" i="15"/>
  <c r="B4" i="12"/>
  <c r="B4" i="15"/>
  <c r="B24" i="6"/>
  <c r="B7" i="15"/>
  <c r="B28" i="6"/>
  <c r="J7" i="15"/>
  <c r="B32" i="6"/>
  <c r="R7" i="15"/>
  <c r="B25" i="6"/>
  <c r="D7" i="15"/>
  <c r="B33" i="6"/>
  <c r="T7" i="15"/>
  <c r="U38" i="15" s="1"/>
  <c r="M10" i="15"/>
  <c r="M23" i="15"/>
  <c r="M35" i="15"/>
  <c r="M45" i="15"/>
  <c r="M12" i="15"/>
  <c r="M26" i="15"/>
  <c r="M38" i="15"/>
  <c r="M46" i="15"/>
  <c r="M13" i="15"/>
  <c r="M27" i="15"/>
  <c r="M39" i="15"/>
  <c r="M49" i="15"/>
  <c r="M14" i="15"/>
  <c r="M30" i="15"/>
  <c r="M40" i="15"/>
  <c r="M50" i="15"/>
  <c r="M15" i="15"/>
  <c r="M31" i="15"/>
  <c r="M41" i="15"/>
  <c r="M51" i="15"/>
  <c r="M16" i="15"/>
  <c r="M32" i="15"/>
  <c r="M42" i="15"/>
  <c r="M52" i="15"/>
  <c r="M19" i="15"/>
  <c r="M33" i="15"/>
  <c r="M43" i="15"/>
  <c r="M53" i="15"/>
  <c r="M22" i="15"/>
  <c r="M34" i="15"/>
  <c r="M44" i="15"/>
  <c r="M54" i="15"/>
  <c r="B26" i="6"/>
  <c r="F7" i="15"/>
  <c r="B30" i="6"/>
  <c r="N7" i="15"/>
  <c r="B31" i="6"/>
  <c r="P7" i="15"/>
  <c r="B39" i="12"/>
  <c r="C37" i="12"/>
  <c r="B29" i="6"/>
  <c r="C66" i="12"/>
  <c r="C70" i="12"/>
  <c r="B11" i="5"/>
  <c r="B3" i="2"/>
  <c r="B3" i="12"/>
  <c r="D33" i="12" s="1"/>
  <c r="B18" i="5"/>
  <c r="D79" i="12" l="1"/>
  <c r="D78" i="12"/>
  <c r="D80" i="12"/>
  <c r="D57" i="12"/>
  <c r="D60" i="12"/>
  <c r="D59" i="12"/>
  <c r="D61" i="12"/>
  <c r="D58" i="12"/>
  <c r="Q14" i="15"/>
  <c r="Q30" i="15"/>
  <c r="Q40" i="15"/>
  <c r="Q50" i="15"/>
  <c r="Q15" i="15"/>
  <c r="Q31" i="15"/>
  <c r="Q41" i="15"/>
  <c r="Q51" i="15"/>
  <c r="Q16" i="15"/>
  <c r="Q32" i="15"/>
  <c r="Q42" i="15"/>
  <c r="Q52" i="15"/>
  <c r="Q19" i="15"/>
  <c r="Q33" i="15"/>
  <c r="Q43" i="15"/>
  <c r="Q53" i="15"/>
  <c r="Q22" i="15"/>
  <c r="Q34" i="15"/>
  <c r="Q44" i="15"/>
  <c r="Q54" i="15"/>
  <c r="Q10" i="15"/>
  <c r="Q23" i="15"/>
  <c r="Q35" i="15"/>
  <c r="Q45" i="15"/>
  <c r="Q12" i="15"/>
  <c r="Q26" i="15"/>
  <c r="Q38" i="15"/>
  <c r="Q46" i="15"/>
  <c r="Q13" i="15"/>
  <c r="Q27" i="15"/>
  <c r="Q39" i="15"/>
  <c r="Q49" i="15"/>
  <c r="D54" i="12"/>
  <c r="D10" i="12"/>
  <c r="D41" i="12"/>
  <c r="D45" i="12"/>
  <c r="K10" i="15"/>
  <c r="K23" i="15"/>
  <c r="K35" i="15"/>
  <c r="K45" i="15"/>
  <c r="K22" i="15"/>
  <c r="K34" i="15"/>
  <c r="K44" i="15"/>
  <c r="K54" i="15"/>
  <c r="K13" i="15"/>
  <c r="K27" i="15"/>
  <c r="K39" i="15"/>
  <c r="K49" i="15"/>
  <c r="K12" i="15"/>
  <c r="K26" i="15"/>
  <c r="K38" i="15"/>
  <c r="K46" i="15"/>
  <c r="K15" i="15"/>
  <c r="K31" i="15"/>
  <c r="K41" i="15"/>
  <c r="K51" i="15"/>
  <c r="K14" i="15"/>
  <c r="K30" i="15"/>
  <c r="K40" i="15"/>
  <c r="K50" i="15"/>
  <c r="K19" i="15"/>
  <c r="K33" i="15"/>
  <c r="K43" i="15"/>
  <c r="K53" i="15"/>
  <c r="K16" i="15"/>
  <c r="K32" i="15"/>
  <c r="K42" i="15"/>
  <c r="K52" i="15"/>
  <c r="O14" i="15"/>
  <c r="O30" i="15"/>
  <c r="O40" i="15"/>
  <c r="O50" i="15"/>
  <c r="O13" i="15"/>
  <c r="O27" i="15"/>
  <c r="O39" i="15"/>
  <c r="O49" i="15"/>
  <c r="O16" i="15"/>
  <c r="O32" i="15"/>
  <c r="O42" i="15"/>
  <c r="O52" i="15"/>
  <c r="O15" i="15"/>
  <c r="O31" i="15"/>
  <c r="O41" i="15"/>
  <c r="O51" i="15"/>
  <c r="O22" i="15"/>
  <c r="O34" i="15"/>
  <c r="O44" i="15"/>
  <c r="O54" i="15"/>
  <c r="O19" i="15"/>
  <c r="O33" i="15"/>
  <c r="O43" i="15"/>
  <c r="O53" i="15"/>
  <c r="O12" i="15"/>
  <c r="O26" i="15"/>
  <c r="O38" i="15"/>
  <c r="O46" i="15"/>
  <c r="O10" i="15"/>
  <c r="O23" i="15"/>
  <c r="O35" i="15"/>
  <c r="O45" i="15"/>
  <c r="D77" i="12"/>
  <c r="E13" i="15"/>
  <c r="E27" i="15"/>
  <c r="E39" i="15"/>
  <c r="E49" i="15"/>
  <c r="E14" i="15"/>
  <c r="E30" i="15"/>
  <c r="E40" i="15"/>
  <c r="E50" i="15"/>
  <c r="E15" i="15"/>
  <c r="E31" i="15"/>
  <c r="E41" i="15"/>
  <c r="E51" i="15"/>
  <c r="E16" i="15"/>
  <c r="E32" i="15"/>
  <c r="E42" i="15"/>
  <c r="E52" i="15"/>
  <c r="E19" i="15"/>
  <c r="E33" i="15"/>
  <c r="E43" i="15"/>
  <c r="E53" i="15"/>
  <c r="E22" i="15"/>
  <c r="E34" i="15"/>
  <c r="E44" i="15"/>
  <c r="E54" i="15"/>
  <c r="E10" i="15"/>
  <c r="E23" i="15"/>
  <c r="E35" i="15"/>
  <c r="E45" i="15"/>
  <c r="E12" i="15"/>
  <c r="E26" i="15"/>
  <c r="E38" i="15"/>
  <c r="E46" i="15"/>
  <c r="D44" i="12"/>
  <c r="D26" i="12"/>
  <c r="S19" i="15"/>
  <c r="S33" i="15"/>
  <c r="S43" i="15"/>
  <c r="S53" i="15"/>
  <c r="S16" i="15"/>
  <c r="S32" i="15"/>
  <c r="S42" i="15"/>
  <c r="S52" i="15"/>
  <c r="S10" i="15"/>
  <c r="S23" i="15"/>
  <c r="S35" i="15"/>
  <c r="S45" i="15"/>
  <c r="S22" i="15"/>
  <c r="S34" i="15"/>
  <c r="S44" i="15"/>
  <c r="S54" i="15"/>
  <c r="S13" i="15"/>
  <c r="S27" i="15"/>
  <c r="S39" i="15"/>
  <c r="S49" i="15"/>
  <c r="S12" i="15"/>
  <c r="S26" i="15"/>
  <c r="S38" i="15"/>
  <c r="S46" i="15"/>
  <c r="S15" i="15"/>
  <c r="S31" i="15"/>
  <c r="S41" i="15"/>
  <c r="S51" i="15"/>
  <c r="S14" i="15"/>
  <c r="S30" i="15"/>
  <c r="S40" i="15"/>
  <c r="S50" i="15"/>
  <c r="C13" i="15"/>
  <c r="C27" i="15"/>
  <c r="C39" i="15"/>
  <c r="C49" i="15"/>
  <c r="C12" i="15"/>
  <c r="C26" i="15"/>
  <c r="C38" i="15"/>
  <c r="C46" i="15"/>
  <c r="C15" i="15"/>
  <c r="C31" i="15"/>
  <c r="C41" i="15"/>
  <c r="C51" i="15"/>
  <c r="C14" i="15"/>
  <c r="C30" i="15"/>
  <c r="C40" i="15"/>
  <c r="C50" i="15"/>
  <c r="C19" i="15"/>
  <c r="C33" i="15"/>
  <c r="C43" i="15"/>
  <c r="C53" i="15"/>
  <c r="C16" i="15"/>
  <c r="C32" i="15"/>
  <c r="C42" i="15"/>
  <c r="C52" i="15"/>
  <c r="C10" i="15"/>
  <c r="C23" i="15"/>
  <c r="C35" i="15"/>
  <c r="C45" i="15"/>
  <c r="C22" i="15"/>
  <c r="C34" i="15"/>
  <c r="C44" i="15"/>
  <c r="C54" i="15"/>
  <c r="I16" i="15"/>
  <c r="I32" i="15"/>
  <c r="I42" i="15"/>
  <c r="I52" i="15"/>
  <c r="I19" i="15"/>
  <c r="I33" i="15"/>
  <c r="I43" i="15"/>
  <c r="I53" i="15"/>
  <c r="I22" i="15"/>
  <c r="I34" i="15"/>
  <c r="I44" i="15"/>
  <c r="I54" i="15"/>
  <c r="I23" i="15"/>
  <c r="I35" i="15"/>
  <c r="I45" i="15"/>
  <c r="I10" i="15"/>
  <c r="I12" i="15"/>
  <c r="I26" i="15"/>
  <c r="I38" i="15"/>
  <c r="I46" i="15"/>
  <c r="I13" i="15"/>
  <c r="I27" i="15"/>
  <c r="I39" i="15"/>
  <c r="I49" i="15"/>
  <c r="I14" i="15"/>
  <c r="I30" i="15"/>
  <c r="I40" i="15"/>
  <c r="I50" i="15"/>
  <c r="I15" i="15"/>
  <c r="I31" i="15"/>
  <c r="I41" i="15"/>
  <c r="I51" i="15"/>
  <c r="B13" i="2"/>
  <c r="B11" i="2"/>
  <c r="B14" i="2"/>
  <c r="B10" i="2"/>
  <c r="B8" i="2"/>
  <c r="G16" i="15"/>
  <c r="G32" i="15"/>
  <c r="G42" i="15"/>
  <c r="G52" i="15"/>
  <c r="G15" i="15"/>
  <c r="G31" i="15"/>
  <c r="G41" i="15"/>
  <c r="G51" i="15"/>
  <c r="G10" i="15"/>
  <c r="G22" i="15"/>
  <c r="G34" i="15"/>
  <c r="G44" i="15"/>
  <c r="G54" i="15"/>
  <c r="G19" i="15"/>
  <c r="G33" i="15"/>
  <c r="G43" i="15"/>
  <c r="G53" i="15"/>
  <c r="G12" i="15"/>
  <c r="G26" i="15"/>
  <c r="G38" i="15"/>
  <c r="G46" i="15"/>
  <c r="G23" i="15"/>
  <c r="G35" i="15"/>
  <c r="G45" i="15"/>
  <c r="G14" i="15"/>
  <c r="G30" i="15"/>
  <c r="G40" i="15"/>
  <c r="G50" i="15"/>
  <c r="G13" i="15"/>
  <c r="G27" i="15"/>
  <c r="G39" i="15"/>
  <c r="G49" i="15"/>
  <c r="U19" i="15"/>
  <c r="U33" i="15"/>
  <c r="U43" i="15"/>
  <c r="U53" i="15"/>
  <c r="U22" i="15"/>
  <c r="U34" i="15"/>
  <c r="U44" i="15"/>
  <c r="U54" i="15"/>
  <c r="U10" i="15"/>
  <c r="U23" i="15"/>
  <c r="U35" i="15"/>
  <c r="U45" i="15"/>
  <c r="U12" i="15"/>
  <c r="U26" i="15"/>
  <c r="U46" i="15"/>
  <c r="U13" i="15"/>
  <c r="U27" i="15"/>
  <c r="U39" i="15"/>
  <c r="U49" i="15"/>
  <c r="U14" i="15"/>
  <c r="U30" i="15"/>
  <c r="U40" i="15"/>
  <c r="U50" i="15"/>
  <c r="U15" i="15"/>
  <c r="U31" i="15"/>
  <c r="U41" i="15"/>
  <c r="U51" i="15"/>
  <c r="U16" i="15"/>
  <c r="U32" i="15"/>
  <c r="U42" i="15"/>
  <c r="U52" i="15"/>
  <c r="D56" i="12"/>
  <c r="B9" i="2"/>
  <c r="D9" i="12"/>
  <c r="D70" i="12"/>
  <c r="D37" i="12"/>
  <c r="D52" i="12"/>
  <c r="D15" i="12"/>
  <c r="B12" i="2"/>
  <c r="D75" i="12"/>
  <c r="D53" i="12"/>
  <c r="D76" i="12"/>
  <c r="D66" i="12"/>
  <c r="D50" i="12"/>
  <c r="D63" i="12"/>
  <c r="D51" i="12"/>
  <c r="D14" i="12"/>
  <c r="D49" i="12"/>
  <c r="D22" i="12"/>
  <c r="D74" i="12"/>
  <c r="D18" i="12"/>
  <c r="D30" i="12"/>
  <c r="D12" i="12"/>
  <c r="D11" i="12"/>
  <c r="D23" i="12"/>
  <c r="D13" i="12"/>
  <c r="D55" i="12"/>
  <c r="D46" i="12"/>
  <c r="C48" i="6"/>
  <c r="C52" i="6"/>
  <c r="C56" i="6"/>
  <c r="C49" i="6"/>
  <c r="C53" i="6"/>
  <c r="C57" i="6"/>
  <c r="C50" i="6"/>
  <c r="C54" i="6"/>
  <c r="C51" i="6"/>
  <c r="C55" i="6"/>
  <c r="C23" i="5"/>
  <c r="C15" i="5"/>
  <c r="C33" i="6" l="1"/>
  <c r="C31" i="6"/>
  <c r="C29" i="6"/>
  <c r="C27" i="6"/>
  <c r="C25" i="6"/>
  <c r="C32" i="6"/>
  <c r="C30" i="6"/>
  <c r="C28" i="6"/>
  <c r="C26" i="6"/>
  <c r="C24" i="6"/>
  <c r="C22" i="5"/>
  <c r="C21" i="5"/>
  <c r="C16" i="5"/>
  <c r="C14" i="5"/>
  <c r="C8" i="5" l="1"/>
  <c r="C5" i="7"/>
  <c r="C7" i="7"/>
  <c r="C8" i="7"/>
  <c r="C6" i="7"/>
  <c r="C13" i="6" l="1"/>
  <c r="C14" i="6"/>
  <c r="C8" i="11"/>
  <c r="C6" i="11"/>
  <c r="C6" i="6"/>
  <c r="C5" i="6"/>
  <c r="C9" i="11"/>
  <c r="C10" i="6"/>
  <c r="C5" i="11"/>
  <c r="C12" i="6"/>
  <c r="C7" i="11"/>
  <c r="C9" i="6"/>
  <c r="C11" i="6"/>
  <c r="C7" i="6"/>
  <c r="C8" i="6"/>
  <c r="C7" i="5"/>
  <c r="C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tc={9ACB2F73-80A9-430F-8003-A2C5316175FB}</author>
  </authors>
  <commentList>
    <comment ref="A1" authorId="0" shapeId="0" xr:uid="{9ACB2F73-80A9-430F-8003-A2C5316175FB}">
      <text>
        <t>[Threaded comment]
Your version of Excel allows you to read this threaded comment; however, any edits to it will get removed if the file is opened in a newer version of Excel. Learn more: https://go.microsoft.com/fwlink/?linkid=870924
Comment:
    DATA Cleaned for analysis</t>
      </text>
    </comment>
  </commentList>
</comments>
</file>

<file path=xl/sharedStrings.xml><?xml version="1.0" encoding="utf-8"?>
<sst xmlns="http://schemas.openxmlformats.org/spreadsheetml/2006/main" count="638" uniqueCount="346">
  <si>
    <t>record_id</t>
  </si>
  <si>
    <t>redcap_survey_identifier</t>
  </si>
  <si>
    <t>bedside_audit_of_blood_administration_timestamp</t>
  </si>
  <si>
    <t>multi</t>
  </si>
  <si>
    <t>patient</t>
  </si>
  <si>
    <t>ordnum</t>
  </si>
  <si>
    <t>txndate</t>
  </si>
  <si>
    <t>prior</t>
  </si>
  <si>
    <t>ward</t>
  </si>
  <si>
    <t>ward_other</t>
  </si>
  <si>
    <t>com_prod</t>
  </si>
  <si>
    <t>comp</t>
  </si>
  <si>
    <t>prod</t>
  </si>
  <si>
    <t>prod_other</t>
  </si>
  <si>
    <t>phys</t>
  </si>
  <si>
    <t>order_com___1</t>
  </si>
  <si>
    <t>order_com___2</t>
  </si>
  <si>
    <t>order_com___3</t>
  </si>
  <si>
    <t>order_prod___1</t>
  </si>
  <si>
    <t>order_prod___2</t>
  </si>
  <si>
    <t>order_prod___3</t>
  </si>
  <si>
    <t>spec</t>
  </si>
  <si>
    <t>infus</t>
  </si>
  <si>
    <t>incon</t>
  </si>
  <si>
    <t>iv_pat</t>
  </si>
  <si>
    <t>iv_pat_prod</t>
  </si>
  <si>
    <t>recip_info</t>
  </si>
  <si>
    <t>recip_info_prod</t>
  </si>
  <si>
    <t>left</t>
  </si>
  <si>
    <t>left_prod</t>
  </si>
  <si>
    <t>veri</t>
  </si>
  <si>
    <t>veri_prod</t>
  </si>
  <si>
    <t>conf_pt</t>
  </si>
  <si>
    <t>recip_name___1</t>
  </si>
  <si>
    <t>recip_name___2</t>
  </si>
  <si>
    <t>recip_name___3</t>
  </si>
  <si>
    <t>recip_name_doc</t>
  </si>
  <si>
    <t>abo_comp___1</t>
  </si>
  <si>
    <t>abo_comp___2</t>
  </si>
  <si>
    <t>abo_comp___3</t>
  </si>
  <si>
    <t>comp_chart</t>
  </si>
  <si>
    <t>abo_com_no</t>
  </si>
  <si>
    <t>abo_ver</t>
  </si>
  <si>
    <t>don_num_ident___1</t>
  </si>
  <si>
    <t>don_num_ident___2</t>
  </si>
  <si>
    <t>lot_num_ident___1</t>
  </si>
  <si>
    <t>lot_num_ident___2</t>
  </si>
  <si>
    <t>lot_num_ident___3</t>
  </si>
  <si>
    <t>exp_accep</t>
  </si>
  <si>
    <t>exp_accep_prod</t>
  </si>
  <si>
    <t>time_trans</t>
  </si>
  <si>
    <t>time_infus</t>
  </si>
  <si>
    <t>comp_check_doc</t>
  </si>
  <si>
    <t>prod_checks_doc</t>
  </si>
  <si>
    <t>pat_advis</t>
  </si>
  <si>
    <t>tubing_com</t>
  </si>
  <si>
    <t>tubing_prod</t>
  </si>
  <si>
    <t>fluid_com</t>
  </si>
  <si>
    <t>fluid_prod</t>
  </si>
  <si>
    <t>transfus_start_doc</t>
  </si>
  <si>
    <t>transfus_start</t>
  </si>
  <si>
    <t>infus_start_doc</t>
  </si>
  <si>
    <t>infus_start</t>
  </si>
  <si>
    <t>pre_vit_com</t>
  </si>
  <si>
    <t>pre_vit_prod</t>
  </si>
  <si>
    <t>pre_vit_no</t>
  </si>
  <si>
    <t>rate_com</t>
  </si>
  <si>
    <t>rate_prod</t>
  </si>
  <si>
    <t>vit_15_com</t>
  </si>
  <si>
    <t>vit_15_prod</t>
  </si>
  <si>
    <t>vit_list___1</t>
  </si>
  <si>
    <t>vit_list___2</t>
  </si>
  <si>
    <t>vit_list___3</t>
  </si>
  <si>
    <t>vit_list___4</t>
  </si>
  <si>
    <t>vit_list___6</t>
  </si>
  <si>
    <t>vit_list___5</t>
  </si>
  <si>
    <t>vit_list_other</t>
  </si>
  <si>
    <t>trans_react</t>
  </si>
  <si>
    <t>transfu_end_doc</t>
  </si>
  <si>
    <t>infus_fin</t>
  </si>
  <si>
    <t>infus_end_doc</t>
  </si>
  <si>
    <t>infus_fin_prod</t>
  </si>
  <si>
    <t>complete_com</t>
  </si>
  <si>
    <t>complete_prod</t>
  </si>
  <si>
    <t>post_vit_com</t>
  </si>
  <si>
    <t>post_vit_prod</t>
  </si>
  <si>
    <t>tag_dur</t>
  </si>
  <si>
    <t>tag_dur_prod</t>
  </si>
  <si>
    <t>trans_doc</t>
  </si>
  <si>
    <t>doc___1</t>
  </si>
  <si>
    <t>doc___2</t>
  </si>
  <si>
    <t>doc___3</t>
  </si>
  <si>
    <t>doc___4</t>
  </si>
  <si>
    <t>aud_name</t>
  </si>
  <si>
    <t>daen_name</t>
  </si>
  <si>
    <t>name_sig</t>
  </si>
  <si>
    <t>comments</t>
  </si>
  <si>
    <t>created_on</t>
  </si>
  <si>
    <t>created_by</t>
  </si>
  <si>
    <t>updated_on</t>
  </si>
  <si>
    <t>updated_by</t>
  </si>
  <si>
    <t>bedside_audit_of_blood_administration_complete</t>
  </si>
  <si>
    <t>Transfusion Priority Blood Components</t>
  </si>
  <si>
    <t>Transfusion Priority Blood Products</t>
  </si>
  <si>
    <t>Number of Components</t>
  </si>
  <si>
    <t>Red Blood Cells</t>
  </si>
  <si>
    <t>Albumin</t>
  </si>
  <si>
    <t>Routine</t>
  </si>
  <si>
    <t>Platelets</t>
  </si>
  <si>
    <t>Fibringen Concentrate</t>
  </si>
  <si>
    <t>Urgent</t>
  </si>
  <si>
    <t>Plasma</t>
  </si>
  <si>
    <t>Intravenous Immune Globulin</t>
  </si>
  <si>
    <t>STAT</t>
  </si>
  <si>
    <t>Cryoprecipitate</t>
  </si>
  <si>
    <t>Prothrombin Complex Concentrate</t>
  </si>
  <si>
    <t>Other</t>
  </si>
  <si>
    <t>Ward</t>
  </si>
  <si>
    <t>Blood Components</t>
  </si>
  <si>
    <t>Blood Products</t>
  </si>
  <si>
    <t>Chronic Care/Rehabilitation</t>
  </si>
  <si>
    <t>Emergency</t>
  </si>
  <si>
    <t>Intensive/Cardiac Care Unit</t>
  </si>
  <si>
    <t>Medical/Surgical Ward</t>
  </si>
  <si>
    <t>Neonatal/Pediatric</t>
  </si>
  <si>
    <t>Obstetrical Unit</t>
  </si>
  <si>
    <t>Operating Room</t>
  </si>
  <si>
    <t>Outpatient Clinic</t>
  </si>
  <si>
    <t>Post Anesthetic Care Unit</t>
  </si>
  <si>
    <t>Blood components</t>
  </si>
  <si>
    <t>Variable</t>
  </si>
  <si>
    <t>n (Not assessed)</t>
  </si>
  <si>
    <t>n (Unknown)</t>
  </si>
  <si>
    <t>n (Not applicable)</t>
  </si>
  <si>
    <t>n (Yes)</t>
  </si>
  <si>
    <t>n (No)</t>
  </si>
  <si>
    <t>Was the authorized prescriber’s order documented?   [phys]</t>
  </si>
  <si>
    <t>Was informed consent documented? [incon]</t>
  </si>
  <si>
    <t>Was the IV established and * patent prior to the component arriving at the clinical area? [iv_pat]</t>
  </si>
  <si>
    <t>Was IV established and * patent prior to the product arriving at the clinical area? [iv_pat_prod]</t>
  </si>
  <si>
    <t>Were the * Transfusion Medicine (TM) patient identifiers on the order/pick-up slip verified to match those on the TS label/tag on the component?  [recip_info]</t>
  </si>
  <si>
    <t>Were the * Transfusion Medicine (TM) patient identifiers on the order/pick-up slip verified to match those on the TS label/tag? [recip_info_prod]</t>
  </si>
  <si>
    <t>Was the component type received from TS verified to match the authorized prescriber's order? [veri ]</t>
  </si>
  <si>
    <t>Was the product type received from TS verified to match the authorized prescriber's order? [veri_prod]</t>
  </si>
  <si>
    <t>Were all the checks done in the presence of the patient, at the bedside? [conf_pt]</t>
  </si>
  <si>
    <t>Were the patient identification checks documented in the paper/electronic medical record (EMR)? [recip_name_doc]</t>
  </si>
  <si>
    <t>If the ABO / Rh(D) blood groups (as applicable to the component being transfused) of the patient and the component were not identical, was compatibility * validated? [comp_chart]</t>
  </si>
  <si>
    <t>Was the expiry date on the blood component verified to be acceptable? [exp_accep]</t>
  </si>
  <si>
    <t>Was the expiry date on the blood product verified to be acceptable? [exp_accep_prod]</t>
  </si>
  <si>
    <t>Were date and time of issue from TS checked to determine the maximum timeframe for completing the transfusion? [time_trans]</t>
  </si>
  <si>
    <t>Were date and time of entering/spiking product vial/bottle checked to determine maximum timeframe for completing the infusion? [time_infus]</t>
  </si>
  <si>
    <t>Were the component checks documented in the paper/electronic medical record (EMR)?[comp_check_doc]</t>
  </si>
  <si>
    <t>Were the product checks documented in the paper/electronic medical record (EMR)? [prod_checks_doc]</t>
  </si>
  <si>
    <t>Was the patient advised of signs &amp; symptoms to watch for and report during or following the transfusion? [pat_advis]</t>
  </si>
  <si>
    <t> Was blood administration tubing with 170-260 micron filter used? [tubing_com]</t>
  </si>
  <si>
    <t>Was appropriate IV tubing used (as per the manufacturer e.g., vented tubing, standard IV tubing)? [tubing_prod]</t>
  </si>
  <si>
    <t>Was IV fluid 0.9% sodium chloride used? [fluid_com]</t>
  </si>
  <si>
    <t>Was compatible IV fluid used (as per the manufacturer)?  [fluid_prod]</t>
  </si>
  <si>
    <t>Was the transfusion start time documented? [transfus_start_doc]</t>
  </si>
  <si>
    <t>Was the infusion start time documented? [infus_start_doc]</t>
  </si>
  <si>
    <t>Were vital signs checked within 30 minutes prior to transfusion? [pre_vit_com]</t>
  </si>
  <si>
    <t>Were vital signs checked within 30 minutes prior to infusion? [pre_vit_prod]</t>
  </si>
  <si>
    <t>Was the transfusion started at a slow rate (adults: 50 mL/hr; neonates/pediatrics: 1 mL/kg/hr, to maximum 50 mL/hr) for the first 15 minutes of transfusion?[rate_com]</t>
  </si>
  <si>
    <t>Was the infusion rate within the manufacturer's recommendations? [rate_prod]</t>
  </si>
  <si>
    <t>Were vital signs checked 15 minutes after start of the transfusion? [vit_15_com]</t>
  </si>
  <si>
    <t>Were vital signs checked 15 minutes after start of the infusion? [vit_15_prod]</t>
  </si>
  <si>
    <t>Was the transfusionist aware of the steps to manage a transfusion reaction? [trans_react]</t>
  </si>
  <si>
    <t>Was the transfusion end time documented? [transfu_end_doc]</t>
  </si>
  <si>
    <t>Was the infusion end time documented? [infus_end_doc]</t>
  </si>
  <si>
    <t>Was the transfusion completed within 4 hours from time of issue from TS? [complete_com]</t>
  </si>
  <si>
    <t>Was the infusion completed within 4 hours from time of entering/spiking the product vial/bottle or as per the manufacturer's recommendations? [complete_prod]</t>
  </si>
  <si>
    <t>Were vital signs checked on completion of the transfusion? [post_vit_com]</t>
  </si>
  <si>
    <t>Were vital signs checked on completion of the infusion? [post_vit_prod]</t>
  </si>
  <si>
    <t>Did the TS label/tag remain attached to the component until completion of the transfusion? [tag_dur]</t>
  </si>
  <si>
    <t>Did the TS label/tag remain attached to the product until completion of the infusion? [tag_dur_prod]</t>
  </si>
  <si>
    <t>Does the paper/electronic medical record (EMR) documentation provide the identity of the transfusionist? [trans_doc]</t>
  </si>
  <si>
    <t>Blood products</t>
  </si>
  <si>
    <t>Did the order include:</t>
  </si>
  <si>
    <t>order_comp_1</t>
  </si>
  <si>
    <t>1, Component type</t>
  </si>
  <si>
    <t>order_comp_2</t>
  </si>
  <si>
    <t>2, Volume/quantity/dose</t>
  </si>
  <si>
    <t>order_comp_3</t>
  </si>
  <si>
    <t>3, Rate/duration of transfusion or stated in facility specific standard operating procedure</t>
  </si>
  <si>
    <t>order_prod_1</t>
  </si>
  <si>
    <t>1, Product type</t>
  </si>
  <si>
    <t>order_prod_2</t>
  </si>
  <si>
    <t>order_prod_3</t>
  </si>
  <si>
    <t>3, Rate/duration of infusion or stated in facility specific standard operating procedure (as per manufacturer's recommendations</t>
  </si>
  <si>
    <t xml:space="preserve">Were the * TM patient identifiers verified to be identical on the following:  </t>
  </si>
  <si>
    <t>recip_name_1</t>
  </si>
  <si>
    <t>1, Patient's arm band</t>
  </si>
  <si>
    <t>recip_name_2</t>
  </si>
  <si>
    <t>2, Authorized prescriber's order</t>
  </si>
  <si>
    <t>recip_name_3</t>
  </si>
  <si>
    <t>3, TS label/tag</t>
  </si>
  <si>
    <t>Were the ABO/Rh(D) blood groups (as applicable to the component being transfused) of the patient and the component verified to be identical or compatible?</t>
  </si>
  <si>
    <t>abo_comp_1</t>
  </si>
  <si>
    <t>1, Patient ABO/Rh(D) test results (Group &amp; Screen test)</t>
  </si>
  <si>
    <t>abo_comp_2</t>
  </si>
  <si>
    <t>2, Canadian Blood Services (CBS) label</t>
  </si>
  <si>
    <t>abo_comp_3</t>
  </si>
  <si>
    <t>Was the unit number verified as identical on:</t>
  </si>
  <si>
    <t>don_num_ident_1</t>
  </si>
  <si>
    <t>1, CBS label</t>
  </si>
  <si>
    <t>don_num_ident_2</t>
  </si>
  <si>
    <t>2, TS label/tag</t>
  </si>
  <si>
    <t xml:space="preserve">Was the lot number verified as identical on: </t>
  </si>
  <si>
    <t>lot_num_ident_1</t>
  </si>
  <si>
    <t>1, Manufacturer labelling</t>
  </si>
  <si>
    <t>lot_num_ident_2</t>
  </si>
  <si>
    <t>lot_num_ident_3</t>
  </si>
  <si>
    <t>3, Not applicable for this product</t>
  </si>
  <si>
    <t>For vital signs checks, select the vital sign parameters assessed:</t>
  </si>
  <si>
    <t>vit_list_1</t>
  </si>
  <si>
    <t>1, Temperature</t>
  </si>
  <si>
    <t>vit_list_2</t>
  </si>
  <si>
    <t>2, Blood Pressure</t>
  </si>
  <si>
    <t>vit_list_3</t>
  </si>
  <si>
    <t>3, Pulse</t>
  </si>
  <si>
    <t>vit_list_4</t>
  </si>
  <si>
    <t>4, Respiration</t>
  </si>
  <si>
    <t>vit_list_6</t>
  </si>
  <si>
    <t>6, Oxygen saturation</t>
  </si>
  <si>
    <t>vit_list_5</t>
  </si>
  <si>
    <t>5, Other</t>
  </si>
  <si>
    <t xml:space="preserve">Does the paper/electronic medical record (EMR) documentation include:  </t>
  </si>
  <si>
    <t>doc_1</t>
  </si>
  <si>
    <t>1, Volume transfused</t>
  </si>
  <si>
    <t>doc_2</t>
  </si>
  <si>
    <t>2, Vital signs</t>
  </si>
  <si>
    <t>doc_3</t>
  </si>
  <si>
    <t>3, Patient assessments (if applicable)</t>
  </si>
  <si>
    <t>doc_4</t>
  </si>
  <si>
    <t>4, Not assessed</t>
  </si>
  <si>
    <t>Bedside Audit of Blood Administration Report</t>
  </si>
  <si>
    <t xml:space="preserve">Number of blood component orders: </t>
  </si>
  <si>
    <t>Compliance Summary for each section of this audit - Blood Components</t>
  </si>
  <si>
    <t>SECTION</t>
  </si>
  <si>
    <t>COMPLIANCE (%)</t>
  </si>
  <si>
    <t>PRE-TRANSFUSION CHECKS – TRANSFUSIONIST</t>
  </si>
  <si>
    <t xml:space="preserve">PRE-TRANSFUSION CHECKS – TRANSFUSION SERVICE (TS) </t>
  </si>
  <si>
    <t xml:space="preserve">TRANSFUSION </t>
  </si>
  <si>
    <t>PATIENT IDENTIFICATION CHECKS</t>
  </si>
  <si>
    <t>COMPONENT CHECKS</t>
  </si>
  <si>
    <t>BLOOD COMPONENT COMPLIANCE (%)                                     FOR EACH INDIVIDUAL REQUIRED CHECK</t>
  </si>
  <si>
    <t>For calculations within this template, the denominator is the number of audits performed (orders). 
If blank or incomplete response(s) were identified in the raw data, the number of these responses is subtracted from the denominator for that specific calculation.</t>
  </si>
  <si>
    <t>Number of all orders:</t>
  </si>
  <si>
    <t>Number of component orders:</t>
  </si>
  <si>
    <t>Number of product orders:</t>
  </si>
  <si>
    <t>REQUIRED CHECK</t>
  </si>
  <si>
    <t>Counts (n) provided where applicable</t>
  </si>
  <si>
    <t>COMPLIANCE (n)</t>
  </si>
  <si>
    <t xml:space="preserve">Was the authorized prescriber’s order documented?   </t>
  </si>
  <si>
    <t>Did the order include:  </t>
  </si>
  <si>
    <t>Composite of the 3 parameters</t>
  </si>
  <si>
    <t>– Component type </t>
  </si>
  <si>
    <t>– Volume/quantity/dose </t>
  </si>
  <si>
    <t xml:space="preserve">– Rate/duration of transfusion or stated in facility specific standard operating procedure </t>
  </si>
  <si>
    <t xml:space="preserve">Was informed consent documented? </t>
  </si>
  <si>
    <t>Was the IV established and * patent prior to the component arriving at the clinical area?</t>
  </si>
  <si>
    <t xml:space="preserve">Were the * Transfusion Medicine (TM) patient identifiers on the order/pick-up slip verified to match those on the TS label/tag on the component? </t>
  </si>
  <si>
    <t xml:space="preserve">Time component issued from TS: </t>
  </si>
  <si>
    <t>Was the component type received from TS verified to match the authorized prescriber's order?</t>
  </si>
  <si>
    <t xml:space="preserve">Were all the checks done in the presence of the patient, at the bedside? </t>
  </si>
  <si>
    <t>Were the * TM patient identifiers verified to be identical on the following:  
• Patient's arm band
• Authorized prescriber's order
• TS label / tag</t>
  </si>
  <si>
    <r>
      <rPr>
        <b/>
        <sz val="11"/>
        <color rgb="FF083459"/>
        <rFont val="Calibri"/>
        <family val="2"/>
        <scheme val="minor"/>
      </rPr>
      <t>Count–</t>
    </r>
    <r>
      <rPr>
        <sz val="11"/>
        <color rgb="FF083459"/>
        <rFont val="Calibri"/>
        <family val="2"/>
        <scheme val="minor"/>
      </rPr>
      <t xml:space="preserve">  Patient's arm band</t>
    </r>
  </si>
  <si>
    <r>
      <rPr>
        <b/>
        <sz val="11"/>
        <color rgb="FF083459"/>
        <rFont val="Calibri"/>
        <family val="2"/>
        <scheme val="minor"/>
      </rPr>
      <t>Count</t>
    </r>
    <r>
      <rPr>
        <sz val="11"/>
        <color rgb="FF083459"/>
        <rFont val="Calibri"/>
        <family val="2"/>
        <scheme val="minor"/>
      </rPr>
      <t>–  Authorized prescriber's order</t>
    </r>
  </si>
  <si>
    <r>
      <rPr>
        <b/>
        <sz val="11"/>
        <color rgb="FF083459"/>
        <rFont val="Calibri"/>
        <family val="2"/>
        <scheme val="minor"/>
      </rPr>
      <t>Count</t>
    </r>
    <r>
      <rPr>
        <sz val="11"/>
        <color rgb="FF083459"/>
        <rFont val="Calibri"/>
        <family val="2"/>
        <scheme val="minor"/>
      </rPr>
      <t>–  TS label/tag</t>
    </r>
  </si>
  <si>
    <t>Were the patient identification checks documented in the paper/electronic medical record (EMR)?</t>
  </si>
  <si>
    <t>Were the ABO / Rh(D) blood groups (as applicable to the component being transfused) of the patient and the component were to be  identical or compatible? 
• Patient ABO/Rh(D) test results (Group &amp; Screen test)
• Canadian Blood Services (CBS) label
• TS label/tag</t>
  </si>
  <si>
    <r>
      <rPr>
        <b/>
        <sz val="11"/>
        <color rgb="FF083459"/>
        <rFont val="Calibri"/>
        <family val="2"/>
        <scheme val="minor"/>
      </rPr>
      <t>Count–</t>
    </r>
    <r>
      <rPr>
        <sz val="11"/>
        <color rgb="FF083459"/>
        <rFont val="Calibri"/>
        <family val="2"/>
        <scheme val="minor"/>
      </rPr>
      <t xml:space="preserve">  Patient ABO/Rh(D) test results (Group &amp; Screen test) </t>
    </r>
  </si>
  <si>
    <r>
      <rPr>
        <b/>
        <sz val="11"/>
        <color rgb="FF083459"/>
        <rFont val="Calibri"/>
        <family val="2"/>
        <scheme val="minor"/>
      </rPr>
      <t>Count</t>
    </r>
    <r>
      <rPr>
        <sz val="11"/>
        <color rgb="FF083459"/>
        <rFont val="Calibri"/>
        <family val="2"/>
        <scheme val="minor"/>
      </rPr>
      <t>–  Canadian Blood Services (CBS) label</t>
    </r>
  </si>
  <si>
    <r>
      <t xml:space="preserve">If the ABO / Rh(D) blood groups (as applicable to the component being transfused) of the patient and the component </t>
    </r>
    <r>
      <rPr>
        <u/>
        <sz val="11"/>
        <color rgb="FF083459"/>
        <rFont val="Calibri"/>
        <family val="2"/>
        <scheme val="minor"/>
      </rPr>
      <t>were not identical</t>
    </r>
    <r>
      <rPr>
        <sz val="11"/>
        <color rgb="FF083459"/>
        <rFont val="Calibri"/>
        <family val="2"/>
        <scheme val="minor"/>
      </rPr>
      <t>, was compatibility * validated?</t>
    </r>
  </si>
  <si>
    <r>
      <rPr>
        <b/>
        <sz val="11"/>
        <color rgb="FF083459"/>
        <rFont val="Calibri"/>
        <family val="2"/>
        <scheme val="minor"/>
      </rPr>
      <t>Count</t>
    </r>
    <r>
      <rPr>
        <sz val="11"/>
        <color rgb="FF083459"/>
        <rFont val="Calibri"/>
        <family val="2"/>
        <scheme val="minor"/>
      </rPr>
      <t>– Not Applicable</t>
    </r>
  </si>
  <si>
    <r>
      <rPr>
        <b/>
        <sz val="11"/>
        <color rgb="FF083459"/>
        <rFont val="Calibri"/>
        <family val="2"/>
        <scheme val="minor"/>
      </rPr>
      <t>Count</t>
    </r>
    <r>
      <rPr>
        <sz val="11"/>
        <color rgb="FF083459"/>
        <rFont val="Calibri"/>
        <family val="2"/>
        <scheme val="minor"/>
      </rPr>
      <t>– Yes</t>
    </r>
  </si>
  <si>
    <r>
      <rPr>
        <b/>
        <sz val="11"/>
        <color rgb="FF083459"/>
        <rFont val="Calibri"/>
        <family val="2"/>
        <scheme val="minor"/>
      </rPr>
      <t>Count</t>
    </r>
    <r>
      <rPr>
        <sz val="11"/>
        <color rgb="FF083459"/>
        <rFont val="Calibri"/>
        <family val="2"/>
        <scheme val="minor"/>
      </rPr>
      <t>– No</t>
    </r>
  </si>
  <si>
    <t>Was the unit number verified as identical on:
• CBS label
• TS label / tag</t>
  </si>
  <si>
    <t>Composite of the 2 parameters</t>
  </si>
  <si>
    <r>
      <rPr>
        <b/>
        <sz val="11"/>
        <color rgb="FF083459"/>
        <rFont val="Calibri"/>
        <family val="2"/>
        <scheme val="minor"/>
      </rPr>
      <t>Count</t>
    </r>
    <r>
      <rPr>
        <sz val="11"/>
        <color rgb="FF083459"/>
        <rFont val="Calibri"/>
        <family val="2"/>
        <scheme val="minor"/>
      </rPr>
      <t>– CBS label</t>
    </r>
  </si>
  <si>
    <r>
      <rPr>
        <b/>
        <sz val="11"/>
        <color rgb="FF083459"/>
        <rFont val="Calibri"/>
        <family val="2"/>
        <scheme val="minor"/>
      </rPr>
      <t>Count</t>
    </r>
    <r>
      <rPr>
        <sz val="11"/>
        <color rgb="FF083459"/>
        <rFont val="Calibri"/>
        <family val="2"/>
        <scheme val="minor"/>
      </rPr>
      <t>– TS label/tag</t>
    </r>
  </si>
  <si>
    <r>
      <t xml:space="preserve">Was the </t>
    </r>
    <r>
      <rPr>
        <b/>
        <sz val="11"/>
        <color rgb="FF083459"/>
        <rFont val="Calibri"/>
        <family val="2"/>
        <scheme val="minor"/>
      </rPr>
      <t>expiry</t>
    </r>
    <r>
      <rPr>
        <sz val="11"/>
        <color rgb="FF083459"/>
        <rFont val="Calibri"/>
        <family val="2"/>
        <scheme val="minor"/>
      </rPr>
      <t xml:space="preserve"> date on the blood component verified to be acceptable? </t>
    </r>
  </si>
  <si>
    <t>Were date and time of issue from TS checked to determine the maximum timeframe for completing the transfusion?</t>
  </si>
  <si>
    <t>Were the component checks documented in the paper/electronic medical record (EMR)?</t>
  </si>
  <si>
    <t>PROCEDURE CHECKS</t>
  </si>
  <si>
    <t>Was the patient advised of signs &amp; symptoms to watch for and report during or following the transfusion? </t>
  </si>
  <si>
    <t>Was blood administration tubing with 170-260 micron filter used?</t>
  </si>
  <si>
    <t xml:space="preserve">Was IV fluid 0.9% sodium chloride used? </t>
  </si>
  <si>
    <t>Was the transfusion start time documented?</t>
  </si>
  <si>
    <t xml:space="preserve">Were vital signs checked within 30 minutes prior to transfusion? </t>
  </si>
  <si>
    <t>Was the transfusion started at a slow rate (adults: 50 mL/hr; neonates/pediatrics: 1 mL/kg/hr, to maximum 50 mL/hr) for the first 15 minutes of transfusion?</t>
  </si>
  <si>
    <t xml:space="preserve">Were vital signs checked 15 minutes after start of the transfusion? </t>
  </si>
  <si>
    <t>For vital signs checks, indicate if the vital sign parameter was assessed: Temperature; Blood Pressure; Pulse; Respiration; Oxygen saturation</t>
  </si>
  <si>
    <t>Composite of the 5 parameters</t>
  </si>
  <si>
    <r>
      <rPr>
        <b/>
        <sz val="11"/>
        <color rgb="FF083459"/>
        <rFont val="Calibri"/>
        <family val="2"/>
        <scheme val="minor"/>
      </rPr>
      <t>Count</t>
    </r>
    <r>
      <rPr>
        <sz val="11"/>
        <color rgb="FF083459"/>
        <rFont val="Calibri"/>
        <family val="2"/>
        <scheme val="minor"/>
      </rPr>
      <t xml:space="preserve">– Temperature </t>
    </r>
  </si>
  <si>
    <r>
      <rPr>
        <b/>
        <sz val="11"/>
        <color rgb="FF083459"/>
        <rFont val="Calibri"/>
        <family val="2"/>
        <scheme val="minor"/>
      </rPr>
      <t>Count</t>
    </r>
    <r>
      <rPr>
        <sz val="11"/>
        <color rgb="FF083459"/>
        <rFont val="Calibri"/>
        <family val="2"/>
        <scheme val="minor"/>
      </rPr>
      <t>– Blood Pressure</t>
    </r>
  </si>
  <si>
    <r>
      <rPr>
        <b/>
        <sz val="11"/>
        <color rgb="FF083459"/>
        <rFont val="Calibri"/>
        <family val="2"/>
        <scheme val="minor"/>
      </rPr>
      <t>Count</t>
    </r>
    <r>
      <rPr>
        <sz val="11"/>
        <color rgb="FF083459"/>
        <rFont val="Calibri"/>
        <family val="2"/>
        <scheme val="minor"/>
      </rPr>
      <t>– Pulse</t>
    </r>
  </si>
  <si>
    <r>
      <rPr>
        <b/>
        <sz val="11"/>
        <color rgb="FF083459"/>
        <rFont val="Calibri"/>
        <family val="2"/>
        <scheme val="minor"/>
      </rPr>
      <t>Count</t>
    </r>
    <r>
      <rPr>
        <sz val="11"/>
        <color rgb="FF083459"/>
        <rFont val="Calibri"/>
        <family val="2"/>
        <scheme val="minor"/>
      </rPr>
      <t>– Respiration</t>
    </r>
  </si>
  <si>
    <r>
      <rPr>
        <b/>
        <sz val="11"/>
        <color rgb="FF083459"/>
        <rFont val="Calibri"/>
        <family val="2"/>
        <scheme val="minor"/>
      </rPr>
      <t>Count</t>
    </r>
    <r>
      <rPr>
        <sz val="11"/>
        <color rgb="FF083459"/>
        <rFont val="Calibri"/>
        <family val="2"/>
        <scheme val="minor"/>
      </rPr>
      <t>– Oxygen Saturation</t>
    </r>
  </si>
  <si>
    <r>
      <rPr>
        <b/>
        <sz val="11"/>
        <color rgb="FF083459"/>
        <rFont val="Calibri"/>
        <family val="2"/>
        <scheme val="minor"/>
      </rPr>
      <t>Count</t>
    </r>
    <r>
      <rPr>
        <sz val="11"/>
        <color rgb="FF083459"/>
        <rFont val="Calibri"/>
        <family val="2"/>
        <scheme val="minor"/>
      </rPr>
      <t>– Other (please specify)</t>
    </r>
  </si>
  <si>
    <t xml:space="preserve">Was the transfusionist aware of the steps to manage a transfusion reaction? </t>
  </si>
  <si>
    <t>POST-TRANSFUSION</t>
  </si>
  <si>
    <t>Was the transfusion end time documented?</t>
  </si>
  <si>
    <r>
      <rPr>
        <b/>
        <sz val="11"/>
        <color rgb="FF083459"/>
        <rFont val="Calibri"/>
        <family val="2"/>
        <scheme val="minor"/>
      </rPr>
      <t>Count</t>
    </r>
    <r>
      <rPr>
        <sz val="11"/>
        <color rgb="FF083459"/>
        <rFont val="Calibri"/>
        <family val="2"/>
        <scheme val="minor"/>
      </rPr>
      <t>– Auditor did not assess</t>
    </r>
  </si>
  <si>
    <r>
      <t>Was the transfusion completed within 4 hours from time of issue from TS?</t>
    </r>
    <r>
      <rPr>
        <b/>
        <sz val="11"/>
        <color rgb="FF083459"/>
        <rFont val="Calibri"/>
        <family val="2"/>
        <scheme val="minor"/>
      </rPr>
      <t xml:space="preserve"> </t>
    </r>
  </si>
  <si>
    <r>
      <rPr>
        <b/>
        <sz val="11"/>
        <color rgb="FF083459"/>
        <rFont val="Calibri"/>
        <family val="2"/>
        <scheme val="minor"/>
      </rPr>
      <t>Count</t>
    </r>
    <r>
      <rPr>
        <sz val="11"/>
        <color rgb="FF083459"/>
        <rFont val="Calibri"/>
        <family val="2"/>
        <scheme val="minor"/>
      </rPr>
      <t>– Unknown</t>
    </r>
  </si>
  <si>
    <t>Were vital signs checked on completion of the transfusion?</t>
  </si>
  <si>
    <t xml:space="preserve">Did the TS label/tag remain attached to the component until completion of the transfusion? </t>
  </si>
  <si>
    <t>Does the paper/electronic medical record (EMR) documentation provide the identity of the transfusionist?</t>
  </si>
  <si>
    <t>Does the paper/electronic medical record (EMR) documentation include:   Volume transfused; Vital signs; Patient assessments (if applicable e.g., a transfusion reaction occurred); None of the above documentation was assessed by the auditor</t>
  </si>
  <si>
    <r>
      <rPr>
        <b/>
        <sz val="11"/>
        <color rgb="FF083459"/>
        <rFont val="Calibri"/>
        <family val="2"/>
        <scheme val="minor"/>
      </rPr>
      <t>Count</t>
    </r>
    <r>
      <rPr>
        <sz val="11"/>
        <color rgb="FF083459"/>
        <rFont val="Calibri"/>
        <family val="2"/>
        <scheme val="minor"/>
      </rPr>
      <t xml:space="preserve">– Volume transfused </t>
    </r>
  </si>
  <si>
    <r>
      <rPr>
        <b/>
        <sz val="11"/>
        <color rgb="FF083459"/>
        <rFont val="Calibri"/>
        <family val="2"/>
        <scheme val="minor"/>
      </rPr>
      <t>Count</t>
    </r>
    <r>
      <rPr>
        <sz val="11"/>
        <color rgb="FF083459"/>
        <rFont val="Calibri"/>
        <family val="2"/>
        <scheme val="minor"/>
      </rPr>
      <t>– Vital signs</t>
    </r>
  </si>
  <si>
    <r>
      <rPr>
        <b/>
        <sz val="11"/>
        <color rgb="FF083459"/>
        <rFont val="Calibri"/>
        <family val="2"/>
        <scheme val="minor"/>
      </rPr>
      <t>Count</t>
    </r>
    <r>
      <rPr>
        <sz val="11"/>
        <color rgb="FF083459"/>
        <rFont val="Calibri"/>
        <family val="2"/>
        <scheme val="minor"/>
      </rPr>
      <t xml:space="preserve">– Patient assessments (if applicable e.g., a transfsuion reaction occurred) </t>
    </r>
  </si>
  <si>
    <r>
      <rPr>
        <b/>
        <sz val="11"/>
        <color rgb="FF083459"/>
        <rFont val="Calibri"/>
        <family val="2"/>
        <scheme val="minor"/>
      </rPr>
      <t>Counts</t>
    </r>
    <r>
      <rPr>
        <sz val="11"/>
        <color rgb="FF083459"/>
        <rFont val="Calibri"/>
        <family val="2"/>
        <scheme val="minor"/>
      </rPr>
      <t>– Auditor did not assess</t>
    </r>
  </si>
  <si>
    <t>BLOOD COMPONENT COMPLIANCE (%)                                                    FOR EACH INDIVIDUAL REQUIRED CHECK                                           PER TRANSFUSION LOCATION (WARD/AREA)</t>
  </si>
  <si>
    <t>Number of component orders</t>
  </si>
  <si>
    <t>Ward/area</t>
  </si>
  <si>
    <t>Orders per ward/area</t>
  </si>
  <si>
    <t>Were the ABO / Rh(D) blood groups (as applicable to the component being transfused) of the patient and the component were to be  identical or compatible?  
• Patient ABO/Rh(D) test results (Group &amp; Screen test)
• Canadian Blood Services (CBS) label
• TS label/tag</t>
  </si>
  <si>
    <t> Was blood administration tubing with 170-260 micron filter used?</t>
  </si>
  <si>
    <t xml:space="preserve">Was the transfusion completed within 4 hours from time of issue from TS? </t>
  </si>
  <si>
    <t>Does the paper/electronic medical record (EMR) documentation include:   Volume transfused; Vital signs; Patient assessments (if applicable)</t>
  </si>
  <si>
    <t>TRANSFUSION PRIORITY</t>
  </si>
  <si>
    <t>Number of all orders</t>
  </si>
  <si>
    <t>PRIORITY</t>
  </si>
  <si>
    <t>n</t>
  </si>
  <si>
    <t>%</t>
  </si>
  <si>
    <t>Number of product orders</t>
  </si>
  <si>
    <t>TRANSFUSION LOCATION (WARD/AREA)</t>
  </si>
  <si>
    <t>All orders</t>
  </si>
  <si>
    <t>Transfusion Location (Ward/Area)</t>
  </si>
  <si>
    <t xml:space="preserve"> </t>
  </si>
  <si>
    <t>Blood component orders</t>
  </si>
  <si>
    <t>Blood product orders</t>
  </si>
  <si>
    <t>BLOOD COMPONENT TYPE</t>
  </si>
  <si>
    <t xml:space="preserve">BLOOD COMPONENT </t>
  </si>
  <si>
    <t>RBC</t>
  </si>
  <si>
    <t>PLATELETS</t>
  </si>
  <si>
    <t>PLASMA</t>
  </si>
  <si>
    <t>CRYOPRECIPITATE</t>
  </si>
  <si>
    <t>BLOOD PRODUCT TYPE</t>
  </si>
  <si>
    <t>BLOOD PRODUCT</t>
  </si>
  <si>
    <t xml:space="preserve">All </t>
  </si>
  <si>
    <t>Transfusion Priority All</t>
  </si>
  <si>
    <t>Number of All orders:</t>
  </si>
  <si>
    <t>Number of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</si>
</sst>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6"/>
      <color rgb="FF002060"/>
      <name val="Calibri"/>
      <family val="2"/>
      <scheme val="minor"/>
    </font>
    <font>
      <sz val="11"/>
      <color rgb="FF002060"/>
      <name val="Calibri"/>
      <family val="2"/>
      <scheme val="minor"/>
    </font>
    <font>
      <b/>
      <sz val="11"/>
      <color rgb="FF002060"/>
      <name val="Calibri"/>
      <family val="2"/>
      <scheme val="minor"/>
    </font>
    <font>
      <sz val="11"/>
      <color theme="1" tint="0.249977111117893"/>
      <name val="Calibri"/>
      <family val="2"/>
      <scheme val="minor"/>
    </font>
    <font>
      <b/>
      <sz val="12"/>
      <color rgb="FF002060"/>
      <name val="Calibri"/>
      <family val="2"/>
      <scheme val="minor"/>
    </font>
    <font>
      <sz val="11"/>
      <name val="Calibri"/>
      <family val="2"/>
      <scheme val="minor"/>
    </font>
    <font>
      <sz val="11"/>
      <color rgb="FF000000"/>
      <name val="Calibri"/>
      <family val="2"/>
      <scheme val="minor"/>
    </font>
    <font>
      <sz val="11"/>
      <color theme="1" tint="4.9989318521683403E-2"/>
      <name val="Calibri"/>
      <family val="2"/>
      <scheme val="minor"/>
    </font>
    <font>
      <sz val="11"/>
      <color theme="2" tint="-0.89999084444715716"/>
      <name val="Calibri"/>
      <family val="2"/>
      <scheme val="minor"/>
    </font>
    <font>
      <b/>
      <sz val="11"/>
      <color rgb="FF000000"/>
      <name val="Calibri"/>
      <family val="2"/>
      <scheme val="minor"/>
    </font>
    <font>
      <b/>
      <sz val="11"/>
      <color theme="1" tint="4.9989318521683403E-2"/>
      <name val="Calibri"/>
      <family val="2"/>
      <scheme val="minor"/>
    </font>
    <font>
      <sz val="11"/>
      <color rgb="FF083459"/>
      <name val="Calibri"/>
      <family val="2"/>
      <scheme val="minor"/>
    </font>
    <font>
      <b/>
      <sz val="12"/>
      <color rgb="FF083459"/>
      <name val="Calibri"/>
      <family val="2"/>
      <scheme val="minor"/>
    </font>
    <font>
      <b/>
      <sz val="11"/>
      <color rgb="FF083459"/>
      <name val="Calibri"/>
      <family val="2"/>
      <scheme val="minor"/>
    </font>
    <font>
      <sz val="12"/>
      <color rgb="FF083459"/>
      <name val="Calibri"/>
      <family val="2"/>
      <scheme val="minor"/>
    </font>
    <font>
      <u/>
      <sz val="11"/>
      <color rgb="FF083459"/>
      <name val="Calibri"/>
      <family val="2"/>
      <scheme val="minor"/>
    </font>
    <font>
      <sz val="11"/>
      <color rgb="FF082B3B"/>
      <name val="Calibri"/>
      <family val="2"/>
      <scheme val="minor"/>
    </font>
    <font>
      <sz val="11"/>
      <color rgb="FFFF0000"/>
      <name val="Calibri"/>
      <family val="2"/>
      <scheme val="minor"/>
    </font>
    <font>
      <sz val="11"/>
      <color theme="0"/>
      <name val="Calibri"/>
      <family val="2"/>
      <scheme val="minor"/>
    </font>
    <font>
      <b/>
      <sz val="11"/>
      <color theme="0"/>
      <name val="Calibri"/>
      <family val="2"/>
      <scheme val="minor"/>
    </font>
    <font>
      <sz val="8"/>
      <color theme="1"/>
      <name val="Segoe UI"/>
      <family val="2"/>
    </font>
    <font>
      <i/>
      <sz val="8"/>
      <color theme="1"/>
      <name val="Calibri"/>
      <family val="2"/>
      <scheme val="minor"/>
    </font>
    <font>
      <sz val="9"/>
      <name val="Calibri"/>
      <family val="2"/>
      <scheme val="minor"/>
    </font>
    <font>
      <b/>
      <sz val="11"/>
      <color rgb="FF082B3B"/>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rgb="FF083459"/>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rgb="FFB32017"/>
        <bgColor indexed="64"/>
      </patternFill>
    </fill>
    <fill>
      <patternFill patternType="solid">
        <fgColor rgb="FFC00000"/>
        <bgColor indexed="64"/>
      </patternFill>
    </fill>
  </fills>
  <borders count="1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rgb="FF083459"/>
      </left>
      <right style="thin">
        <color indexed="64"/>
      </right>
      <top style="medium">
        <color rgb="FF083459"/>
      </top>
      <bottom style="thin">
        <color indexed="64"/>
      </bottom>
      <diagonal/>
    </border>
    <border>
      <left style="medium">
        <color indexed="64"/>
      </left>
      <right style="thin">
        <color indexed="64"/>
      </right>
      <top style="medium">
        <color rgb="FF083459"/>
      </top>
      <bottom style="thin">
        <color indexed="64"/>
      </bottom>
      <diagonal/>
    </border>
    <border>
      <left style="thin">
        <color indexed="64"/>
      </left>
      <right/>
      <top style="medium">
        <color rgb="FF083459"/>
      </top>
      <bottom style="thin">
        <color indexed="64"/>
      </bottom>
      <diagonal/>
    </border>
    <border>
      <left style="medium">
        <color rgb="FF083459"/>
      </left>
      <right style="thin">
        <color indexed="64"/>
      </right>
      <top style="thin">
        <color indexed="64"/>
      </top>
      <bottom style="thin">
        <color indexed="64"/>
      </bottom>
      <diagonal/>
    </border>
    <border>
      <left style="thin">
        <color indexed="64"/>
      </left>
      <right style="medium">
        <color rgb="FF083459"/>
      </right>
      <top style="thin">
        <color indexed="64"/>
      </top>
      <bottom style="thin">
        <color indexed="64"/>
      </bottom>
      <diagonal/>
    </border>
    <border>
      <left style="medium">
        <color rgb="FF083459"/>
      </left>
      <right style="thin">
        <color indexed="64"/>
      </right>
      <top style="thin">
        <color indexed="64"/>
      </top>
      <bottom style="medium">
        <color rgb="FF083459"/>
      </bottom>
      <diagonal/>
    </border>
    <border>
      <left style="medium">
        <color indexed="64"/>
      </left>
      <right style="thin">
        <color indexed="64"/>
      </right>
      <top style="thin">
        <color indexed="64"/>
      </top>
      <bottom style="medium">
        <color rgb="FF083459"/>
      </bottom>
      <diagonal/>
    </border>
    <border>
      <left style="thin">
        <color indexed="64"/>
      </left>
      <right/>
      <top style="thin">
        <color indexed="64"/>
      </top>
      <bottom style="medium">
        <color rgb="FF083459"/>
      </bottom>
      <diagonal/>
    </border>
    <border>
      <left style="medium">
        <color indexed="64"/>
      </left>
      <right style="thin">
        <color indexed="64"/>
      </right>
      <top style="medium">
        <color indexed="64"/>
      </top>
      <bottom/>
      <diagonal/>
    </border>
    <border>
      <left style="thin">
        <color auto="1"/>
      </left>
      <right/>
      <top style="medium">
        <color indexed="64"/>
      </top>
      <bottom/>
      <diagonal/>
    </border>
    <border>
      <left style="medium">
        <color indexed="64"/>
      </left>
      <right/>
      <top style="thin">
        <color indexed="64"/>
      </top>
      <bottom style="medium">
        <color indexed="64"/>
      </bottom>
      <diagonal/>
    </border>
    <border>
      <left style="medium">
        <color rgb="FF083459"/>
      </left>
      <right style="thin">
        <color auto="1"/>
      </right>
      <top/>
      <bottom style="thin">
        <color auto="1"/>
      </bottom>
      <diagonal/>
    </border>
    <border>
      <left style="thin">
        <color auto="1"/>
      </left>
      <right style="medium">
        <color rgb="FF083459"/>
      </right>
      <top/>
      <bottom style="thin">
        <color auto="1"/>
      </bottom>
      <diagonal/>
    </border>
    <border>
      <left style="medium">
        <color indexed="64"/>
      </left>
      <right style="thin">
        <color indexed="64"/>
      </right>
      <top style="medium">
        <color indexed="64"/>
      </top>
      <bottom style="thin">
        <color rgb="FF083459"/>
      </bottom>
      <diagonal/>
    </border>
    <border>
      <left style="thin">
        <color auto="1"/>
      </left>
      <right style="medium">
        <color indexed="64"/>
      </right>
      <top style="medium">
        <color indexed="64"/>
      </top>
      <bottom style="thin">
        <color rgb="FF083459"/>
      </bottom>
      <diagonal/>
    </border>
    <border>
      <left/>
      <right style="thin">
        <color indexed="64"/>
      </right>
      <top style="medium">
        <color indexed="64"/>
      </top>
      <bottom style="thin">
        <color rgb="FF083459"/>
      </bottom>
      <diagonal/>
    </border>
    <border>
      <left style="thin">
        <color auto="1"/>
      </left>
      <right/>
      <top style="medium">
        <color indexed="64"/>
      </top>
      <bottom style="thin">
        <color rgb="FF083459"/>
      </bottom>
      <diagonal/>
    </border>
    <border>
      <left/>
      <right/>
      <top style="medium">
        <color rgb="FF083459"/>
      </top>
      <bottom style="medium">
        <color rgb="FF083459"/>
      </bottom>
      <diagonal/>
    </border>
    <border>
      <left style="thin">
        <color indexed="64"/>
      </left>
      <right style="medium">
        <color indexed="64"/>
      </right>
      <top style="thin">
        <color indexed="64"/>
      </top>
      <bottom/>
      <diagonal/>
    </border>
    <border>
      <left style="medium">
        <color rgb="FF083459"/>
      </left>
      <right/>
      <top style="medium">
        <color rgb="FF083459"/>
      </top>
      <bottom style="thin">
        <color indexed="64"/>
      </bottom>
      <diagonal/>
    </border>
    <border>
      <left style="medium">
        <color rgb="FF083459"/>
      </left>
      <right/>
      <top style="thin">
        <color indexed="64"/>
      </top>
      <bottom style="thin">
        <color indexed="64"/>
      </bottom>
      <diagonal/>
    </border>
    <border>
      <left style="medium">
        <color rgb="FF083459"/>
      </left>
      <right/>
      <top style="thin">
        <color indexed="64"/>
      </top>
      <bottom style="medium">
        <color rgb="FF083459"/>
      </bottom>
      <diagonal/>
    </border>
    <border>
      <left style="medium">
        <color rgb="FF083459"/>
      </left>
      <right style="thin">
        <color rgb="FF083459"/>
      </right>
      <top style="medium">
        <color rgb="FF083459"/>
      </top>
      <bottom style="thin">
        <color rgb="FF083459"/>
      </bottom>
      <diagonal/>
    </border>
    <border>
      <left style="thin">
        <color rgb="FF083459"/>
      </left>
      <right style="medium">
        <color rgb="FF083459"/>
      </right>
      <top style="medium">
        <color rgb="FF083459"/>
      </top>
      <bottom style="thin">
        <color rgb="FF083459"/>
      </bottom>
      <diagonal/>
    </border>
    <border>
      <left style="medium">
        <color rgb="FF083459"/>
      </left>
      <right style="thin">
        <color rgb="FF083459"/>
      </right>
      <top style="thin">
        <color rgb="FF083459"/>
      </top>
      <bottom style="thin">
        <color rgb="FF083459"/>
      </bottom>
      <diagonal/>
    </border>
    <border>
      <left style="thin">
        <color rgb="FF083459"/>
      </left>
      <right style="medium">
        <color rgb="FF083459"/>
      </right>
      <top style="thin">
        <color rgb="FF083459"/>
      </top>
      <bottom style="thin">
        <color rgb="FF083459"/>
      </bottom>
      <diagonal/>
    </border>
    <border>
      <left style="medium">
        <color rgb="FF083459"/>
      </left>
      <right style="thin">
        <color rgb="FF083459"/>
      </right>
      <top style="thin">
        <color rgb="FF083459"/>
      </top>
      <bottom style="medium">
        <color rgb="FF083459"/>
      </bottom>
      <diagonal/>
    </border>
    <border>
      <left style="thin">
        <color rgb="FF083459"/>
      </left>
      <right style="medium">
        <color rgb="FF083459"/>
      </right>
      <top style="thin">
        <color rgb="FF083459"/>
      </top>
      <bottom style="medium">
        <color rgb="FF083459"/>
      </bottom>
      <diagonal/>
    </border>
    <border>
      <left/>
      <right style="thin">
        <color indexed="64"/>
      </right>
      <top style="medium">
        <color rgb="FF083459"/>
      </top>
      <bottom/>
      <diagonal/>
    </border>
    <border>
      <left style="thin">
        <color indexed="64"/>
      </left>
      <right/>
      <top style="medium">
        <color rgb="FF083459"/>
      </top>
      <bottom/>
      <diagonal/>
    </border>
    <border>
      <left style="medium">
        <color rgb="FF083459"/>
      </left>
      <right style="thin">
        <color rgb="FF083459"/>
      </right>
      <top style="thin">
        <color rgb="FF083459"/>
      </top>
      <bottom style="medium">
        <color indexed="64"/>
      </bottom>
      <diagonal/>
    </border>
    <border>
      <left style="medium">
        <color indexed="64"/>
      </left>
      <right style="thin">
        <color indexed="64"/>
      </right>
      <top style="medium">
        <color rgb="FF083459"/>
      </top>
      <bottom/>
      <diagonal/>
    </border>
    <border>
      <left style="medium">
        <color rgb="FF083459"/>
      </left>
      <right style="thin">
        <color rgb="FF083459"/>
      </right>
      <top style="thin">
        <color indexed="64"/>
      </top>
      <bottom style="thin">
        <color rgb="FF083459"/>
      </bottom>
      <diagonal/>
    </border>
    <border>
      <left style="thin">
        <color rgb="FF083459"/>
      </left>
      <right style="medium">
        <color rgb="FF083459"/>
      </right>
      <top style="thin">
        <color indexed="64"/>
      </top>
      <bottom style="thin">
        <color rgb="FF083459"/>
      </bottom>
      <diagonal/>
    </border>
    <border>
      <left style="thin">
        <color rgb="FF083459"/>
      </left>
      <right style="medium">
        <color indexed="64"/>
      </right>
      <top style="thin">
        <color indexed="64"/>
      </top>
      <bottom style="thin">
        <color rgb="FF083459"/>
      </bottom>
      <diagonal/>
    </border>
    <border>
      <left style="thin">
        <color rgb="FF083459"/>
      </left>
      <right style="medium">
        <color indexed="64"/>
      </right>
      <top style="thin">
        <color rgb="FF083459"/>
      </top>
      <bottom style="medium">
        <color rgb="FF083459"/>
      </bottom>
      <diagonal/>
    </border>
    <border>
      <left style="medium">
        <color rgb="FF083459"/>
      </left>
      <right style="thin">
        <color rgb="FF083459"/>
      </right>
      <top style="medium">
        <color indexed="64"/>
      </top>
      <bottom style="thin">
        <color rgb="FF083459"/>
      </bottom>
      <diagonal/>
    </border>
    <border>
      <left style="thin">
        <color rgb="FF083459"/>
      </left>
      <right style="medium">
        <color rgb="FF083459"/>
      </right>
      <top style="medium">
        <color indexed="64"/>
      </top>
      <bottom style="thin">
        <color rgb="FF083459"/>
      </bottom>
      <diagonal/>
    </border>
    <border>
      <left style="medium">
        <color rgb="FF083459"/>
      </left>
      <right style="thin">
        <color rgb="FF083459"/>
      </right>
      <top style="thin">
        <color indexed="64"/>
      </top>
      <bottom style="thin">
        <color indexed="64"/>
      </bottom>
      <diagonal/>
    </border>
    <border>
      <left style="thin">
        <color rgb="FF083459"/>
      </left>
      <right/>
      <top style="thin">
        <color indexed="64"/>
      </top>
      <bottom style="thin">
        <color rgb="FF083459"/>
      </bottom>
      <diagonal/>
    </border>
    <border>
      <left style="thin">
        <color rgb="FF083459"/>
      </left>
      <right style="medium">
        <color indexed="64"/>
      </right>
      <top style="medium">
        <color indexed="64"/>
      </top>
      <bottom style="thin">
        <color rgb="FF083459"/>
      </bottom>
      <diagonal/>
    </border>
    <border>
      <left style="thin">
        <color rgb="FF083459"/>
      </left>
      <right style="medium">
        <color indexed="64"/>
      </right>
      <top style="thin">
        <color rgb="FF083459"/>
      </top>
      <bottom style="thin">
        <color rgb="FF083459"/>
      </bottom>
      <diagonal/>
    </border>
    <border>
      <left style="thin">
        <color rgb="FF083459"/>
      </left>
      <right style="medium">
        <color indexed="64"/>
      </right>
      <top style="thin">
        <color rgb="FF083459"/>
      </top>
      <bottom style="medium">
        <color indexed="64"/>
      </bottom>
      <diagonal/>
    </border>
    <border>
      <left style="thin">
        <color rgb="FF083459"/>
      </left>
      <right/>
      <top style="thin">
        <color indexed="64"/>
      </top>
      <bottom style="thin">
        <color indexed="64"/>
      </bottom>
      <diagonal/>
    </border>
    <border>
      <left style="thin">
        <color rgb="FF083459"/>
      </left>
      <right/>
      <top style="medium">
        <color indexed="64"/>
      </top>
      <bottom style="thin">
        <color rgb="FF083459"/>
      </bottom>
      <diagonal/>
    </border>
    <border>
      <left style="thin">
        <color rgb="FF083459"/>
      </left>
      <right/>
      <top style="thin">
        <color rgb="FF083459"/>
      </top>
      <bottom style="thin">
        <color rgb="FF083459"/>
      </bottom>
      <diagonal/>
    </border>
    <border>
      <left style="thin">
        <color indexed="64"/>
      </left>
      <right style="medium">
        <color rgb="FF083459"/>
      </right>
      <top style="medium">
        <color rgb="FF083459"/>
      </top>
      <bottom/>
      <diagonal/>
    </border>
    <border>
      <left style="thin">
        <color rgb="FF083459"/>
      </left>
      <right style="thin">
        <color rgb="FF083459"/>
      </right>
      <top style="thin">
        <color indexed="64"/>
      </top>
      <bottom style="thin">
        <color rgb="FF083459"/>
      </bottom>
      <diagonal/>
    </border>
    <border>
      <left style="thin">
        <color rgb="FF083459"/>
      </left>
      <right style="thin">
        <color rgb="FF083459"/>
      </right>
      <top style="thin">
        <color rgb="FF083459"/>
      </top>
      <bottom style="thin">
        <color rgb="FF083459"/>
      </bottom>
      <diagonal/>
    </border>
    <border>
      <left style="thin">
        <color rgb="FF083459"/>
      </left>
      <right style="thin">
        <color rgb="FF083459"/>
      </right>
      <top style="thin">
        <color rgb="FF083459"/>
      </top>
      <bottom style="medium">
        <color rgb="FF083459"/>
      </bottom>
      <diagonal/>
    </border>
    <border>
      <left style="thin">
        <color rgb="FF083459"/>
      </left>
      <right style="thin">
        <color rgb="FF083459"/>
      </right>
      <top style="medium">
        <color indexed="64"/>
      </top>
      <bottom style="thin">
        <color rgb="FF083459"/>
      </bottom>
      <diagonal/>
    </border>
    <border>
      <left style="thin">
        <color rgb="FF083459"/>
      </left>
      <right style="thin">
        <color rgb="FF083459"/>
      </right>
      <top style="thin">
        <color rgb="FF083459"/>
      </top>
      <bottom style="medium">
        <color indexed="64"/>
      </bottom>
      <diagonal/>
    </border>
    <border>
      <left style="medium">
        <color indexed="64"/>
      </left>
      <right style="thin">
        <color rgb="FF083459"/>
      </right>
      <top style="medium">
        <color indexed="64"/>
      </top>
      <bottom style="thin">
        <color rgb="FF083459"/>
      </bottom>
      <diagonal/>
    </border>
    <border>
      <left style="medium">
        <color indexed="64"/>
      </left>
      <right style="thin">
        <color rgb="FF083459"/>
      </right>
      <top style="thin">
        <color rgb="FF083459"/>
      </top>
      <bottom style="thin">
        <color rgb="FF083459"/>
      </bottom>
      <diagonal/>
    </border>
    <border>
      <left style="medium">
        <color indexed="64"/>
      </left>
      <right style="thin">
        <color rgb="FF083459"/>
      </right>
      <top style="thin">
        <color rgb="FF083459"/>
      </top>
      <bottom style="medium">
        <color indexed="64"/>
      </bottom>
      <diagonal/>
    </border>
    <border>
      <left style="medium">
        <color rgb="FF083459"/>
      </left>
      <right style="medium">
        <color indexed="64"/>
      </right>
      <top style="medium">
        <color rgb="FF083459"/>
      </top>
      <bottom style="thin">
        <color rgb="FF083459"/>
      </bottom>
      <diagonal/>
    </border>
    <border>
      <left style="medium">
        <color rgb="FF083459"/>
      </left>
      <right style="medium">
        <color indexed="64"/>
      </right>
      <top style="thin">
        <color rgb="FF083459"/>
      </top>
      <bottom style="thin">
        <color rgb="FF083459"/>
      </bottom>
      <diagonal/>
    </border>
    <border>
      <left style="medium">
        <color rgb="FF083459"/>
      </left>
      <right style="medium">
        <color indexed="64"/>
      </right>
      <top style="thin">
        <color rgb="FF083459"/>
      </top>
      <bottom style="medium">
        <color rgb="FF083459"/>
      </bottom>
      <diagonal/>
    </border>
    <border>
      <left style="medium">
        <color indexed="64"/>
      </left>
      <right style="medium">
        <color indexed="64"/>
      </right>
      <top style="thin">
        <color indexed="64"/>
      </top>
      <bottom style="thin">
        <color rgb="FF083459"/>
      </bottom>
      <diagonal/>
    </border>
    <border>
      <left style="medium">
        <color indexed="64"/>
      </left>
      <right style="medium">
        <color indexed="64"/>
      </right>
      <top style="thin">
        <color rgb="FF083459"/>
      </top>
      <bottom style="thin">
        <color rgb="FF083459"/>
      </bottom>
      <diagonal/>
    </border>
    <border>
      <left style="medium">
        <color indexed="64"/>
      </left>
      <right style="medium">
        <color indexed="64"/>
      </right>
      <top style="thin">
        <color rgb="FF083459"/>
      </top>
      <bottom style="medium">
        <color indexed="64"/>
      </bottom>
      <diagonal/>
    </border>
    <border>
      <left/>
      <right style="thin">
        <color indexed="64"/>
      </right>
      <top style="medium">
        <color indexed="64"/>
      </top>
      <bottom style="thin">
        <color indexed="64"/>
      </bottom>
      <diagonal/>
    </border>
    <border>
      <left style="medium">
        <color indexed="64"/>
      </left>
      <right style="thin">
        <color rgb="FF083459"/>
      </right>
      <top style="thin">
        <color rgb="FF083459"/>
      </top>
      <bottom style="thin">
        <color indexed="64"/>
      </bottom>
      <diagonal/>
    </border>
    <border>
      <left style="thin">
        <color rgb="FF083459"/>
      </left>
      <right/>
      <top style="thin">
        <color rgb="FF083459"/>
      </top>
      <bottom style="thin">
        <color indexed="64"/>
      </bottom>
      <diagonal/>
    </border>
    <border>
      <left/>
      <right/>
      <top style="medium">
        <color indexed="64"/>
      </top>
      <bottom style="medium">
        <color indexed="64"/>
      </bottom>
      <diagonal/>
    </border>
    <border>
      <left style="medium">
        <color indexed="64"/>
      </left>
      <right style="thin">
        <color rgb="FF083459"/>
      </right>
      <top style="thin">
        <color rgb="FF083459"/>
      </top>
      <bottom/>
      <diagonal/>
    </border>
    <border>
      <left style="thin">
        <color rgb="FF083459"/>
      </left>
      <right style="medium">
        <color indexed="64"/>
      </right>
      <top style="thin">
        <color rgb="FF083459"/>
      </top>
      <bottom/>
      <diagonal/>
    </border>
    <border>
      <left style="medium">
        <color rgb="FF083459"/>
      </left>
      <right style="thin">
        <color rgb="FF083459"/>
      </right>
      <top style="thin">
        <color rgb="FF083459"/>
      </top>
      <bottom/>
      <diagonal/>
    </border>
    <border>
      <left style="thin">
        <color rgb="FF083459"/>
      </left>
      <right style="medium">
        <color rgb="FF083459"/>
      </right>
      <top style="thin">
        <color rgb="FF083459"/>
      </top>
      <bottom/>
      <diagonal/>
    </border>
    <border>
      <left style="thin">
        <color rgb="FF083459"/>
      </left>
      <right/>
      <top style="thin">
        <color rgb="FF083459"/>
      </top>
      <bottom/>
      <diagonal/>
    </border>
    <border>
      <left style="medium">
        <color indexed="64"/>
      </left>
      <right/>
      <top style="thin">
        <color indexed="64"/>
      </top>
      <bottom/>
      <diagonal/>
    </border>
    <border>
      <left style="medium">
        <color indexed="64"/>
      </left>
      <right style="thin">
        <color rgb="FF083459"/>
      </right>
      <top style="thin">
        <color indexed="64"/>
      </top>
      <bottom/>
      <diagonal/>
    </border>
    <border>
      <left style="thin">
        <color rgb="FF083459"/>
      </left>
      <right/>
      <top style="thin">
        <color indexed="64"/>
      </top>
      <bottom/>
      <diagonal/>
    </border>
    <border>
      <left/>
      <right/>
      <top style="medium">
        <color rgb="FF083459"/>
      </top>
      <bottom style="medium">
        <color indexed="64"/>
      </bottom>
      <diagonal/>
    </border>
    <border>
      <left style="medium">
        <color rgb="FF083459"/>
      </left>
      <right style="thin">
        <color indexed="64"/>
      </right>
      <top style="thin">
        <color indexed="64"/>
      </top>
      <bottom/>
      <diagonal/>
    </border>
    <border>
      <left style="thin">
        <color indexed="64"/>
      </left>
      <right style="medium">
        <color rgb="FF083459"/>
      </right>
      <top style="thin">
        <color indexed="64"/>
      </top>
      <bottom/>
      <diagonal/>
    </border>
    <border>
      <left style="thin">
        <color rgb="FF083459"/>
      </left>
      <right style="thin">
        <color rgb="FF083459"/>
      </right>
      <top style="thin">
        <color rgb="FF083459"/>
      </top>
      <bottom/>
      <diagonal/>
    </border>
    <border>
      <left style="medium">
        <color rgb="FF083459"/>
      </left>
      <right style="medium">
        <color indexed="64"/>
      </right>
      <top style="thin">
        <color rgb="FF083459"/>
      </top>
      <bottom/>
      <diagonal/>
    </border>
    <border>
      <left style="medium">
        <color indexed="64"/>
      </left>
      <right style="medium">
        <color indexed="64"/>
      </right>
      <top style="thin">
        <color rgb="FF083459"/>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83459"/>
      </left>
      <right/>
      <top style="thin">
        <color rgb="FF083459"/>
      </top>
      <bottom/>
      <diagonal/>
    </border>
    <border>
      <left style="thin">
        <color rgb="FF083459"/>
      </left>
      <right style="thin">
        <color rgb="FF083459"/>
      </right>
      <top/>
      <bottom style="medium">
        <color rgb="FF083459"/>
      </bottom>
      <diagonal/>
    </border>
    <border>
      <left style="thin">
        <color rgb="FF083459"/>
      </left>
      <right style="medium">
        <color rgb="FF083459"/>
      </right>
      <top/>
      <bottom style="medium">
        <color rgb="FF083459"/>
      </bottom>
      <diagonal/>
    </border>
  </borders>
  <cellStyleXfs count="2">
    <xf numFmtId="0" fontId="0" fillId="0" borderId="0"/>
    <xf numFmtId="9" fontId="1" fillId="0" borderId="0" applyFont="0" applyFill="0" applyBorder="0" applyAlignment="0" applyProtection="0"/>
  </cellStyleXfs>
  <cellXfs count="339">
    <xf numFmtId="0" fontId="0" fillId="0" borderId="0" xfId="0"/>
    <xf numFmtId="0" fontId="0" fillId="0" borderId="7" xfId="0" applyBorder="1"/>
    <xf numFmtId="0" fontId="0" fillId="0" borderId="0" xfId="0" applyAlignment="1">
      <alignment wrapText="1"/>
    </xf>
    <xf numFmtId="0" fontId="0" fillId="0" borderId="0" xfId="0" applyAlignment="1">
      <alignment horizontal="center"/>
    </xf>
    <xf numFmtId="0" fontId="3" fillId="0" borderId="0" xfId="0" applyFont="1"/>
    <xf numFmtId="0" fontId="4" fillId="0" borderId="0" xfId="0" applyFont="1"/>
    <xf numFmtId="0" fontId="5" fillId="0" borderId="0" xfId="0" applyFont="1" applyAlignment="1">
      <alignment wrapText="1"/>
    </xf>
    <xf numFmtId="0" fontId="6" fillId="0" borderId="0" xfId="0" applyFont="1" applyAlignment="1">
      <alignment horizontal="center"/>
    </xf>
    <xf numFmtId="0" fontId="6" fillId="0" borderId="0" xfId="0" applyFont="1" applyAlignment="1">
      <alignment horizontal="right" wrapText="1"/>
    </xf>
    <xf numFmtId="0" fontId="6" fillId="0" borderId="0" xfId="0" applyFont="1"/>
    <xf numFmtId="0" fontId="0" fillId="0" borderId="11" xfId="0" applyBorder="1" applyAlignment="1">
      <alignment horizontal="center"/>
    </xf>
    <xf numFmtId="0" fontId="0" fillId="0" borderId="13" xfId="0" applyBorder="1" applyAlignment="1">
      <alignment horizontal="center"/>
    </xf>
    <xf numFmtId="0" fontId="0" fillId="0" borderId="0" xfId="0" applyAlignment="1">
      <alignment horizontal="left" indent="3"/>
    </xf>
    <xf numFmtId="0" fontId="5" fillId="0" borderId="9" xfId="0" applyFont="1" applyBorder="1" applyAlignment="1">
      <alignment horizontal="center"/>
    </xf>
    <xf numFmtId="0" fontId="6" fillId="0" borderId="10" xfId="0" applyFont="1" applyBorder="1" applyAlignment="1">
      <alignment horizontal="center"/>
    </xf>
    <xf numFmtId="0" fontId="8" fillId="0" borderId="0" xfId="0" applyFont="1" applyAlignment="1">
      <alignment horizontal="right"/>
    </xf>
    <xf numFmtId="0" fontId="8" fillId="0" borderId="0" xfId="0" applyFont="1" applyAlignment="1">
      <alignment horizontal="left"/>
    </xf>
    <xf numFmtId="0" fontId="8" fillId="0" borderId="0" xfId="0" applyFont="1"/>
    <xf numFmtId="0" fontId="3" fillId="0" borderId="0" xfId="0" applyFont="1" applyAlignment="1">
      <alignment horizontal="center"/>
    </xf>
    <xf numFmtId="9" fontId="3" fillId="0" borderId="0" xfId="1" applyFont="1" applyBorder="1" applyAlignment="1">
      <alignment horizontal="center"/>
    </xf>
    <xf numFmtId="0" fontId="3" fillId="0" borderId="0" xfId="0" applyFont="1" applyAlignment="1">
      <alignment wrapText="1"/>
    </xf>
    <xf numFmtId="0" fontId="8" fillId="0" borderId="0" xfId="0" applyFont="1" applyAlignment="1">
      <alignment horizontal="center"/>
    </xf>
    <xf numFmtId="0" fontId="6" fillId="0" borderId="16" xfId="0" applyFont="1" applyBorder="1" applyAlignment="1">
      <alignment horizontal="center"/>
    </xf>
    <xf numFmtId="0" fontId="0" fillId="0" borderId="7" xfId="0" applyBorder="1" applyAlignment="1">
      <alignment wrapText="1"/>
    </xf>
    <xf numFmtId="0" fontId="6" fillId="0" borderId="26" xfId="0" applyFont="1" applyBorder="1" applyAlignment="1">
      <alignment horizontal="center"/>
    </xf>
    <xf numFmtId="0" fontId="6" fillId="0" borderId="2" xfId="0" applyFont="1" applyBorder="1" applyAlignment="1">
      <alignment horizontal="center"/>
    </xf>
    <xf numFmtId="0" fontId="0" fillId="0" borderId="3" xfId="0" applyBorder="1" applyAlignment="1">
      <alignment horizontal="center"/>
    </xf>
    <xf numFmtId="9" fontId="0" fillId="0" borderId="4" xfId="1" applyFont="1" applyBorder="1" applyAlignment="1">
      <alignment horizontal="center"/>
    </xf>
    <xf numFmtId="0" fontId="0" fillId="0" borderId="5" xfId="0" applyBorder="1" applyAlignment="1">
      <alignment horizontal="center"/>
    </xf>
    <xf numFmtId="9" fontId="0" fillId="0" borderId="6" xfId="1" applyFont="1" applyBorder="1" applyAlignment="1">
      <alignment horizontal="center"/>
    </xf>
    <xf numFmtId="0" fontId="10" fillId="0" borderId="0" xfId="0" applyFont="1"/>
    <xf numFmtId="0" fontId="7" fillId="0" borderId="0" xfId="0" applyFont="1" applyAlignment="1">
      <alignment horizontal="center"/>
    </xf>
    <xf numFmtId="9" fontId="7" fillId="0" borderId="0" xfId="1" applyFont="1" applyBorder="1" applyAlignment="1">
      <alignment horizontal="center"/>
    </xf>
    <xf numFmtId="0" fontId="6" fillId="0" borderId="31" xfId="0" applyFont="1" applyBorder="1" applyAlignment="1">
      <alignment horizontal="center"/>
    </xf>
    <xf numFmtId="0" fontId="7" fillId="0" borderId="18" xfId="0" applyFont="1" applyBorder="1" applyAlignment="1">
      <alignment horizontal="center"/>
    </xf>
    <xf numFmtId="9" fontId="7" fillId="0" borderId="32" xfId="1" applyFont="1" applyBorder="1" applyAlignment="1">
      <alignment horizontal="center"/>
    </xf>
    <xf numFmtId="0" fontId="12" fillId="0" borderId="0" xfId="0" applyFont="1" applyAlignment="1">
      <alignment wrapText="1"/>
    </xf>
    <xf numFmtId="9" fontId="0" fillId="0" borderId="0" xfId="1" applyFont="1" applyBorder="1" applyAlignment="1">
      <alignment horizontal="center"/>
    </xf>
    <xf numFmtId="0" fontId="14" fillId="0" borderId="0" xfId="0" applyFont="1" applyAlignment="1">
      <alignment horizontal="left" wrapText="1" indent="3"/>
    </xf>
    <xf numFmtId="0" fontId="6" fillId="2" borderId="7" xfId="0" applyFont="1" applyFill="1" applyBorder="1"/>
    <xf numFmtId="0" fontId="6" fillId="2" borderId="7" xfId="0" applyFont="1" applyFill="1" applyBorder="1" applyAlignment="1">
      <alignment horizontal="left" wrapText="1" indent="2"/>
    </xf>
    <xf numFmtId="0" fontId="0" fillId="0" borderId="7" xfId="0" applyBorder="1" applyAlignment="1">
      <alignment horizontal="center"/>
    </xf>
    <xf numFmtId="0" fontId="0" fillId="0" borderId="24" xfId="0" applyBorder="1" applyAlignment="1">
      <alignment horizontal="center"/>
    </xf>
    <xf numFmtId="0" fontId="0" fillId="0" borderId="0" xfId="0" applyAlignment="1">
      <alignment vertical="center"/>
    </xf>
    <xf numFmtId="0" fontId="0" fillId="0" borderId="0" xfId="0" quotePrefix="1"/>
    <xf numFmtId="164" fontId="0" fillId="0" borderId="0" xfId="0" applyNumberFormat="1"/>
    <xf numFmtId="0" fontId="16" fillId="0" borderId="0" xfId="0" applyFont="1" applyAlignment="1">
      <alignment wrapText="1"/>
    </xf>
    <xf numFmtId="0" fontId="15" fillId="0" borderId="0" xfId="0" applyFont="1" applyAlignment="1">
      <alignment wrapText="1"/>
    </xf>
    <xf numFmtId="0" fontId="15" fillId="0" borderId="0" xfId="0" applyFont="1" applyAlignment="1">
      <alignment horizontal="right" wrapText="1"/>
    </xf>
    <xf numFmtId="0" fontId="17" fillId="0" borderId="1" xfId="0" applyFont="1" applyBorder="1"/>
    <xf numFmtId="0" fontId="15" fillId="0" borderId="11" xfId="0" applyFont="1" applyBorder="1" applyAlignment="1">
      <alignment horizontal="left"/>
    </xf>
    <xf numFmtId="0" fontId="15" fillId="0" borderId="11" xfId="0" applyFont="1" applyBorder="1"/>
    <xf numFmtId="0" fontId="15" fillId="0" borderId="11" xfId="0" applyFont="1" applyBorder="1" applyAlignment="1">
      <alignment horizontal="left" indent="10"/>
    </xf>
    <xf numFmtId="0" fontId="15" fillId="0" borderId="11" xfId="0" applyFont="1" applyBorder="1" applyAlignment="1">
      <alignment horizontal="left" wrapText="1" indent="10"/>
    </xf>
    <xf numFmtId="0" fontId="15" fillId="0" borderId="11" xfId="0" applyFont="1" applyBorder="1" applyAlignment="1">
      <alignment wrapText="1"/>
    </xf>
    <xf numFmtId="0" fontId="15" fillId="0" borderId="0" xfId="0" applyFont="1"/>
    <xf numFmtId="0" fontId="17" fillId="0" borderId="13" xfId="0" applyFont="1" applyBorder="1" applyAlignment="1">
      <alignment horizontal="center"/>
    </xf>
    <xf numFmtId="0" fontId="17" fillId="0" borderId="35" xfId="0" applyFont="1" applyBorder="1" applyAlignment="1">
      <alignment horizontal="center"/>
    </xf>
    <xf numFmtId="0" fontId="17" fillId="0" borderId="36" xfId="0" applyFont="1" applyBorder="1" applyAlignment="1">
      <alignment horizontal="center"/>
    </xf>
    <xf numFmtId="0" fontId="17" fillId="0" borderId="23" xfId="0" applyFont="1" applyBorder="1" applyAlignment="1">
      <alignment horizont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Alignment="1">
      <alignment horizontal="center"/>
    </xf>
    <xf numFmtId="9" fontId="15" fillId="0" borderId="30" xfId="1" applyFont="1" applyFill="1" applyBorder="1" applyAlignment="1">
      <alignment horizontal="center" vertical="center"/>
    </xf>
    <xf numFmtId="0" fontId="17" fillId="0" borderId="33" xfId="0" applyFont="1" applyBorder="1" applyAlignment="1">
      <alignment horizontal="center"/>
    </xf>
    <xf numFmtId="0" fontId="18" fillId="0" borderId="0" xfId="0" applyFont="1"/>
    <xf numFmtId="0" fontId="17" fillId="0" borderId="9" xfId="0" applyFont="1" applyBorder="1" applyAlignment="1">
      <alignment horizontal="center"/>
    </xf>
    <xf numFmtId="0" fontId="17" fillId="0" borderId="34" xfId="0" applyFont="1" applyBorder="1" applyAlignment="1">
      <alignment horizontal="center"/>
    </xf>
    <xf numFmtId="0" fontId="17" fillId="0" borderId="10" xfId="0" applyFont="1" applyBorder="1" applyAlignment="1">
      <alignment horizontal="center"/>
    </xf>
    <xf numFmtId="0" fontId="15" fillId="0" borderId="39" xfId="0" applyFont="1" applyBorder="1" applyAlignment="1">
      <alignment horizontal="center" vertical="center"/>
    </xf>
    <xf numFmtId="9" fontId="15" fillId="0" borderId="24" xfId="1" applyFont="1" applyFill="1" applyBorder="1" applyAlignment="1">
      <alignment horizontal="center" vertical="center"/>
    </xf>
    <xf numFmtId="0" fontId="17" fillId="0" borderId="40" xfId="0" applyFont="1" applyBorder="1"/>
    <xf numFmtId="0" fontId="17" fillId="0" borderId="41" xfId="0" applyFont="1" applyBorder="1" applyAlignment="1">
      <alignment horizontal="center"/>
    </xf>
    <xf numFmtId="0" fontId="17" fillId="0" borderId="42" xfId="0" applyFont="1" applyBorder="1" applyAlignment="1">
      <alignment horizontal="center"/>
    </xf>
    <xf numFmtId="0" fontId="15" fillId="0" borderId="45" xfId="0" applyFont="1" applyBorder="1" applyAlignment="1">
      <alignment horizontal="left" wrapText="1"/>
    </xf>
    <xf numFmtId="0" fontId="17" fillId="0" borderId="48" xfId="0" applyFont="1" applyBorder="1" applyAlignment="1">
      <alignment horizontal="center"/>
    </xf>
    <xf numFmtId="0" fontId="17" fillId="0" borderId="49" xfId="0" applyFont="1" applyBorder="1" applyAlignment="1">
      <alignment horizontal="center"/>
    </xf>
    <xf numFmtId="0" fontId="15" fillId="0" borderId="15" xfId="0" applyFont="1" applyBorder="1" applyAlignment="1">
      <alignment horizontal="left" wrapText="1"/>
    </xf>
    <xf numFmtId="0" fontId="17" fillId="0" borderId="29" xfId="0" applyFont="1" applyBorder="1"/>
    <xf numFmtId="0" fontId="15" fillId="0" borderId="15" xfId="0" applyFont="1" applyBorder="1" applyAlignment="1">
      <alignment wrapText="1"/>
    </xf>
    <xf numFmtId="0" fontId="15" fillId="0" borderId="51" xfId="0" applyFont="1" applyBorder="1" applyAlignment="1">
      <alignment horizontal="center" vertical="center"/>
    </xf>
    <xf numFmtId="9" fontId="15" fillId="0" borderId="52" xfId="1" applyFont="1" applyFill="1" applyBorder="1" applyAlignment="1">
      <alignment horizontal="center" vertical="center"/>
    </xf>
    <xf numFmtId="0" fontId="15" fillId="0" borderId="43" xfId="0" applyFont="1" applyBorder="1" applyAlignment="1">
      <alignment horizontal="center" vertical="center"/>
    </xf>
    <xf numFmtId="9" fontId="15" fillId="0" borderId="44" xfId="1" applyFont="1" applyFill="1" applyBorder="1" applyAlignment="1">
      <alignment horizontal="center" vertical="center"/>
    </xf>
    <xf numFmtId="0" fontId="17" fillId="0" borderId="53" xfId="0" applyFont="1" applyBorder="1" applyAlignment="1">
      <alignment horizontal="center"/>
    </xf>
    <xf numFmtId="0" fontId="17" fillId="0" borderId="54" xfId="0" applyFont="1" applyBorder="1" applyAlignment="1">
      <alignment horizontal="center"/>
    </xf>
    <xf numFmtId="0" fontId="17" fillId="0" borderId="55" xfId="0" applyFont="1" applyBorder="1" applyAlignment="1">
      <alignment horizontal="center"/>
    </xf>
    <xf numFmtId="0" fontId="17" fillId="0" borderId="56" xfId="0" applyFont="1" applyBorder="1" applyAlignment="1">
      <alignment horizontal="center"/>
    </xf>
    <xf numFmtId="0" fontId="15" fillId="0" borderId="33" xfId="0" applyFont="1" applyBorder="1" applyAlignment="1">
      <alignment horizontal="center" vertical="center"/>
    </xf>
    <xf numFmtId="0" fontId="17" fillId="0" borderId="3" xfId="0" applyFont="1" applyBorder="1"/>
    <xf numFmtId="0" fontId="17" fillId="0" borderId="39" xfId="0" applyFont="1" applyBorder="1" applyAlignment="1">
      <alignment horizontal="center"/>
    </xf>
    <xf numFmtId="0" fontId="17" fillId="0" borderId="24" xfId="0" applyFont="1" applyBorder="1" applyAlignment="1">
      <alignment horizontal="center"/>
    </xf>
    <xf numFmtId="0" fontId="15" fillId="0" borderId="57" xfId="0" applyFont="1" applyBorder="1" applyAlignment="1">
      <alignment horizontal="left" wrapText="1"/>
    </xf>
    <xf numFmtId="0" fontId="17" fillId="0" borderId="59" xfId="0" applyFont="1" applyBorder="1"/>
    <xf numFmtId="0" fontId="15" fillId="0" borderId="60" xfId="0" applyFont="1" applyBorder="1"/>
    <xf numFmtId="0" fontId="15" fillId="0" borderId="60" xfId="0" applyFont="1" applyBorder="1" applyAlignment="1">
      <alignment wrapText="1"/>
    </xf>
    <xf numFmtId="0" fontId="17" fillId="0" borderId="62" xfId="0" applyFont="1" applyBorder="1" applyAlignment="1">
      <alignment horizontal="center"/>
    </xf>
    <xf numFmtId="0" fontId="17" fillId="0" borderId="63" xfId="0" applyFont="1" applyBorder="1" applyAlignment="1">
      <alignment horizontal="center"/>
    </xf>
    <xf numFmtId="0" fontId="15" fillId="0" borderId="64" xfId="0" applyFont="1" applyBorder="1" applyAlignment="1">
      <alignment horizontal="center"/>
    </xf>
    <xf numFmtId="0" fontId="15" fillId="0" borderId="60" xfId="0" applyFont="1" applyBorder="1" applyAlignment="1">
      <alignment horizontal="left" wrapText="1"/>
    </xf>
    <xf numFmtId="0" fontId="15" fillId="0" borderId="61" xfId="0" applyFont="1" applyBorder="1" applyAlignment="1">
      <alignment horizontal="left" wrapText="1"/>
    </xf>
    <xf numFmtId="9" fontId="15" fillId="0" borderId="67" xfId="1" applyFont="1" applyBorder="1" applyAlignment="1">
      <alignment horizontal="center"/>
    </xf>
    <xf numFmtId="0" fontId="17" fillId="0" borderId="68" xfId="0" applyFont="1" applyBorder="1" applyAlignment="1">
      <alignment horizontal="center"/>
    </xf>
    <xf numFmtId="0" fontId="17" fillId="0" borderId="69" xfId="0" applyFont="1" applyBorder="1" applyAlignment="1">
      <alignment horizontal="center"/>
    </xf>
    <xf numFmtId="0" fontId="15" fillId="0" borderId="0" xfId="0" applyFont="1" applyAlignment="1">
      <alignment horizontal="right"/>
    </xf>
    <xf numFmtId="0" fontId="17" fillId="0" borderId="0" xfId="0" applyFont="1" applyAlignment="1">
      <alignment horizontal="right"/>
    </xf>
    <xf numFmtId="0" fontId="15" fillId="0" borderId="62" xfId="0" applyFont="1" applyBorder="1" applyAlignment="1">
      <alignment horizontal="center" vertical="center"/>
    </xf>
    <xf numFmtId="9" fontId="15" fillId="0" borderId="63" xfId="1" applyFont="1" applyFill="1" applyBorder="1" applyAlignment="1">
      <alignment horizontal="center" vertical="center"/>
    </xf>
    <xf numFmtId="0" fontId="15" fillId="0" borderId="64" xfId="0" applyFont="1" applyBorder="1" applyAlignment="1">
      <alignment horizontal="center" vertical="center"/>
    </xf>
    <xf numFmtId="9" fontId="15" fillId="0" borderId="65" xfId="1" applyFont="1" applyFill="1" applyBorder="1" applyAlignment="1">
      <alignment horizontal="center" vertical="center"/>
    </xf>
    <xf numFmtId="0" fontId="17" fillId="0" borderId="71" xfId="0" applyFont="1" applyBorder="1" applyAlignment="1">
      <alignment horizontal="center"/>
    </xf>
    <xf numFmtId="9" fontId="15" fillId="0" borderId="65" xfId="1" applyFont="1" applyBorder="1" applyAlignment="1">
      <alignment horizontal="center" vertical="center"/>
    </xf>
    <xf numFmtId="9" fontId="15" fillId="0" borderId="67" xfId="1" applyFont="1" applyBorder="1" applyAlignment="1">
      <alignment horizontal="center" vertical="center"/>
    </xf>
    <xf numFmtId="0" fontId="15" fillId="0" borderId="46" xfId="0" applyFont="1" applyBorder="1" applyAlignment="1">
      <alignment horizontal="center" vertical="center"/>
    </xf>
    <xf numFmtId="0" fontId="15" fillId="0" borderId="66" xfId="0" applyFont="1" applyBorder="1" applyAlignment="1">
      <alignment horizontal="center" vertical="center"/>
    </xf>
    <xf numFmtId="0" fontId="15" fillId="0" borderId="72" xfId="0" applyFont="1" applyBorder="1" applyAlignment="1">
      <alignment horizontal="center" vertical="center"/>
    </xf>
    <xf numFmtId="9" fontId="15" fillId="0" borderId="75" xfId="1" applyFont="1" applyBorder="1" applyAlignment="1">
      <alignment horizontal="center" vertical="center"/>
    </xf>
    <xf numFmtId="0" fontId="15" fillId="0" borderId="72" xfId="0" applyFont="1" applyBorder="1"/>
    <xf numFmtId="0" fontId="15" fillId="0" borderId="64" xfId="0" applyFont="1" applyBorder="1"/>
    <xf numFmtId="0" fontId="15" fillId="0" borderId="76" xfId="0" applyFont="1" applyBorder="1" applyAlignment="1">
      <alignment horizontal="center" vertical="center"/>
    </xf>
    <xf numFmtId="0" fontId="17" fillId="0" borderId="58" xfId="0" applyFont="1" applyBorder="1" applyAlignment="1">
      <alignment horizontal="center"/>
    </xf>
    <xf numFmtId="0" fontId="17" fillId="0" borderId="64" xfId="0" applyFont="1" applyBorder="1" applyAlignment="1">
      <alignment horizontal="center"/>
    </xf>
    <xf numFmtId="0" fontId="17" fillId="0" borderId="65" xfId="0" applyFont="1" applyBorder="1" applyAlignment="1">
      <alignment horizontal="center"/>
    </xf>
    <xf numFmtId="0" fontId="17" fillId="0" borderId="86" xfId="0" applyFont="1" applyBorder="1" applyAlignment="1">
      <alignment horizontal="center"/>
    </xf>
    <xf numFmtId="9" fontId="15" fillId="0" borderId="81" xfId="1" applyFont="1" applyFill="1" applyBorder="1" applyAlignment="1">
      <alignment horizontal="center" vertical="center"/>
    </xf>
    <xf numFmtId="0" fontId="6" fillId="0" borderId="9" xfId="0" applyFont="1" applyBorder="1" applyAlignment="1">
      <alignment wrapText="1"/>
    </xf>
    <xf numFmtId="0" fontId="15" fillId="0" borderId="87" xfId="0" applyFont="1" applyBorder="1" applyAlignment="1">
      <alignment horizontal="center"/>
    </xf>
    <xf numFmtId="0" fontId="15" fillId="0" borderId="74" xfId="0" applyFont="1" applyBorder="1" applyAlignment="1">
      <alignment horizontal="center"/>
    </xf>
    <xf numFmtId="0" fontId="15" fillId="0" borderId="64" xfId="0" applyFont="1" applyBorder="1" applyAlignment="1">
      <alignment horizontal="left"/>
    </xf>
    <xf numFmtId="0" fontId="15" fillId="0" borderId="64" xfId="0" applyFont="1" applyBorder="1" applyAlignment="1">
      <alignment wrapText="1"/>
    </xf>
    <xf numFmtId="0" fontId="15" fillId="0" borderId="66" xfId="0" applyFont="1" applyBorder="1" applyAlignment="1">
      <alignment wrapText="1"/>
    </xf>
    <xf numFmtId="0" fontId="15" fillId="0" borderId="89" xfId="0" applyFont="1" applyBorder="1" applyAlignment="1">
      <alignment horizontal="center"/>
    </xf>
    <xf numFmtId="0" fontId="13" fillId="0" borderId="76" xfId="0" applyFont="1" applyBorder="1"/>
    <xf numFmtId="0" fontId="6" fillId="0" borderId="90" xfId="0" applyFont="1" applyBorder="1" applyAlignment="1">
      <alignment horizontal="center"/>
    </xf>
    <xf numFmtId="0" fontId="6" fillId="0" borderId="80" xfId="0" applyFont="1" applyBorder="1" applyAlignment="1">
      <alignment horizontal="center"/>
    </xf>
    <xf numFmtId="0" fontId="15" fillId="0" borderId="64" xfId="0" applyFont="1" applyBorder="1" applyAlignment="1">
      <alignment horizontal="left" wrapText="1"/>
    </xf>
    <xf numFmtId="0" fontId="13" fillId="0" borderId="92" xfId="0" applyFont="1" applyBorder="1"/>
    <xf numFmtId="0" fontId="15" fillId="0" borderId="93" xfId="0" applyFont="1" applyBorder="1" applyAlignment="1">
      <alignment horizontal="left" wrapText="1"/>
    </xf>
    <xf numFmtId="0" fontId="15" fillId="0" borderId="94" xfId="0" applyFont="1" applyBorder="1" applyAlignment="1">
      <alignment horizontal="left" wrapText="1"/>
    </xf>
    <xf numFmtId="0" fontId="13" fillId="0" borderId="64" xfId="0" applyFont="1" applyBorder="1"/>
    <xf numFmtId="0" fontId="6" fillId="0" borderId="88" xfId="0" applyFont="1" applyBorder="1" applyAlignment="1">
      <alignment horizontal="center"/>
    </xf>
    <xf numFmtId="0" fontId="6" fillId="0" borderId="65" xfId="0" applyFont="1" applyBorder="1" applyAlignment="1">
      <alignment horizontal="center"/>
    </xf>
    <xf numFmtId="0" fontId="15" fillId="0" borderId="66" xfId="0" applyFont="1" applyBorder="1" applyAlignment="1">
      <alignment horizontal="left" wrapText="1"/>
    </xf>
    <xf numFmtId="0" fontId="2" fillId="0" borderId="64" xfId="0" applyFont="1" applyBorder="1"/>
    <xf numFmtId="0" fontId="15" fillId="0" borderId="95" xfId="0" applyFont="1" applyBorder="1" applyAlignment="1">
      <alignment wrapText="1"/>
    </xf>
    <xf numFmtId="0" fontId="15" fillId="0" borderId="96" xfId="0" applyFont="1" applyBorder="1" applyAlignment="1">
      <alignment wrapText="1"/>
    </xf>
    <xf numFmtId="0" fontId="15" fillId="0" borderId="96" xfId="0" applyFont="1" applyBorder="1" applyAlignment="1">
      <alignment horizontal="left" wrapText="1"/>
    </xf>
    <xf numFmtId="0" fontId="15" fillId="0" borderId="97" xfId="0" applyFont="1" applyBorder="1" applyAlignment="1">
      <alignment wrapText="1"/>
    </xf>
    <xf numFmtId="9" fontId="15" fillId="0" borderId="98" xfId="1" applyFont="1" applyBorder="1" applyAlignment="1">
      <alignment horizontal="center"/>
    </xf>
    <xf numFmtId="9" fontId="15" fillId="0" borderId="99" xfId="1" applyFont="1" applyBorder="1" applyAlignment="1">
      <alignment horizontal="center"/>
    </xf>
    <xf numFmtId="0" fontId="15" fillId="0" borderId="64" xfId="0" applyFont="1" applyBorder="1" applyAlignment="1">
      <alignment horizontal="left" vertical="center"/>
    </xf>
    <xf numFmtId="0" fontId="15" fillId="0" borderId="88" xfId="0" applyFont="1" applyBorder="1" applyAlignment="1">
      <alignment horizontal="center" vertical="center"/>
    </xf>
    <xf numFmtId="9" fontId="15" fillId="0" borderId="81" xfId="1" applyFont="1" applyBorder="1" applyAlignment="1">
      <alignment horizontal="center" vertical="center"/>
    </xf>
    <xf numFmtId="0" fontId="15" fillId="0" borderId="64" xfId="0" applyFont="1" applyBorder="1" applyAlignment="1">
      <alignment horizontal="left" vertical="center" wrapText="1"/>
    </xf>
    <xf numFmtId="0" fontId="15" fillId="0" borderId="89" xfId="0" applyFont="1" applyBorder="1" applyAlignment="1">
      <alignment horizontal="center" vertical="center"/>
    </xf>
    <xf numFmtId="0" fontId="15" fillId="0" borderId="91" xfId="0" applyFont="1" applyBorder="1" applyAlignment="1">
      <alignment horizontal="center" vertical="center"/>
    </xf>
    <xf numFmtId="9" fontId="15" fillId="0" borderId="82" xfId="1" applyFont="1" applyBorder="1" applyAlignment="1">
      <alignment horizontal="center" vertical="center"/>
    </xf>
    <xf numFmtId="0" fontId="15" fillId="0" borderId="64" xfId="0" applyFont="1" applyBorder="1" applyAlignment="1">
      <alignment horizontal="center" vertical="center" wrapText="1"/>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15" fillId="0" borderId="101" xfId="0" applyFont="1" applyBorder="1" applyAlignment="1">
      <alignment horizontal="center" vertical="center"/>
    </xf>
    <xf numFmtId="0" fontId="15" fillId="0" borderId="19" xfId="0" applyFont="1" applyBorder="1" applyAlignment="1">
      <alignment horizontal="center" vertical="center"/>
    </xf>
    <xf numFmtId="0" fontId="15" fillId="0" borderId="102" xfId="0" applyFont="1" applyBorder="1" applyAlignment="1">
      <alignment horizontal="center" vertical="center"/>
    </xf>
    <xf numFmtId="0" fontId="17" fillId="0" borderId="32" xfId="0" applyFont="1" applyBorder="1" applyAlignment="1">
      <alignment horizontal="center"/>
    </xf>
    <xf numFmtId="0" fontId="15" fillId="0" borderId="33" xfId="0" applyFont="1" applyBorder="1" applyAlignment="1">
      <alignment wrapText="1"/>
    </xf>
    <xf numFmtId="0" fontId="15" fillId="0" borderId="105" xfId="0" applyFont="1" applyBorder="1" applyAlignment="1">
      <alignment horizontal="center" vertical="center"/>
    </xf>
    <xf numFmtId="0" fontId="15" fillId="0" borderId="107" xfId="0" applyFont="1" applyBorder="1" applyAlignment="1">
      <alignment horizontal="center" vertical="center"/>
    </xf>
    <xf numFmtId="0" fontId="15" fillId="0" borderId="22" xfId="0" applyFont="1" applyBorder="1" applyAlignment="1">
      <alignment horizontal="center" vertical="center"/>
    </xf>
    <xf numFmtId="0" fontId="15" fillId="0" borderId="104" xfId="0" applyFont="1" applyBorder="1"/>
    <xf numFmtId="0" fontId="15" fillId="0" borderId="104" xfId="0" applyFont="1" applyBorder="1" applyAlignment="1">
      <alignment horizontal="center"/>
    </xf>
    <xf numFmtId="0" fontId="15" fillId="0" borderId="57" xfId="0" applyFont="1" applyBorder="1" applyAlignment="1">
      <alignment horizontal="center"/>
    </xf>
    <xf numFmtId="0" fontId="15" fillId="0" borderId="110" xfId="0" applyFont="1" applyBorder="1" applyAlignment="1">
      <alignment horizontal="left" wrapText="1"/>
    </xf>
    <xf numFmtId="0" fontId="15" fillId="0" borderId="111" xfId="0" applyFont="1" applyBorder="1" applyAlignment="1">
      <alignment horizontal="center" vertical="center"/>
    </xf>
    <xf numFmtId="0" fontId="15" fillId="0" borderId="57" xfId="0" applyFont="1" applyBorder="1" applyAlignment="1">
      <alignment wrapText="1"/>
    </xf>
    <xf numFmtId="0" fontId="15" fillId="0" borderId="57" xfId="0" applyFont="1" applyBorder="1" applyAlignment="1">
      <alignment horizontal="center" vertical="center"/>
    </xf>
    <xf numFmtId="9" fontId="15" fillId="0" borderId="57" xfId="1" applyFont="1" applyFill="1" applyBorder="1" applyAlignment="1">
      <alignment horizontal="center" vertical="center"/>
    </xf>
    <xf numFmtId="0" fontId="15" fillId="0" borderId="113" xfId="0" applyFont="1" applyBorder="1"/>
    <xf numFmtId="0" fontId="15" fillId="0" borderId="113" xfId="0" applyFont="1" applyBorder="1" applyAlignment="1">
      <alignment horizontal="center"/>
    </xf>
    <xf numFmtId="0" fontId="15" fillId="0" borderId="113" xfId="0" applyFont="1" applyBorder="1" applyAlignment="1">
      <alignment horizontal="center" vertical="center"/>
    </xf>
    <xf numFmtId="0" fontId="15" fillId="0" borderId="110" xfId="0" applyFont="1" applyBorder="1" applyAlignment="1">
      <alignment wrapText="1"/>
    </xf>
    <xf numFmtId="0" fontId="15" fillId="0" borderId="57" xfId="0" applyFont="1" applyBorder="1"/>
    <xf numFmtId="0" fontId="15" fillId="0" borderId="114" xfId="0" applyFont="1" applyBorder="1" applyAlignment="1">
      <alignment horizontal="center" vertical="center"/>
    </xf>
    <xf numFmtId="0" fontId="9" fillId="0" borderId="0" xfId="0" applyFont="1" applyAlignment="1">
      <alignment vertical="top"/>
    </xf>
    <xf numFmtId="0" fontId="15" fillId="0" borderId="64" xfId="0" applyFont="1" applyBorder="1" applyAlignment="1">
      <alignment horizontal="center" wrapText="1"/>
    </xf>
    <xf numFmtId="0" fontId="15" fillId="3" borderId="88" xfId="0" applyFont="1" applyFill="1" applyBorder="1" applyAlignment="1">
      <alignment horizontal="center" vertical="center"/>
    </xf>
    <xf numFmtId="9" fontId="15" fillId="3" borderId="65" xfId="1" applyFont="1" applyFill="1" applyBorder="1" applyAlignment="1">
      <alignment horizontal="center" vertical="center"/>
    </xf>
    <xf numFmtId="0" fontId="15" fillId="0" borderId="66" xfId="0" applyFont="1" applyBorder="1" applyAlignment="1">
      <alignment horizontal="center"/>
    </xf>
    <xf numFmtId="0" fontId="15" fillId="3" borderId="89" xfId="0" applyFont="1" applyFill="1" applyBorder="1" applyAlignment="1">
      <alignment horizontal="center" vertical="center"/>
    </xf>
    <xf numFmtId="0" fontId="17" fillId="0" borderId="0" xfId="0" applyFont="1"/>
    <xf numFmtId="0" fontId="11" fillId="0" borderId="0" xfId="0" applyFont="1" applyAlignment="1">
      <alignment horizontal="center" vertical="center" wrapText="1"/>
    </xf>
    <xf numFmtId="0" fontId="15" fillId="0" borderId="70" xfId="0" applyFont="1" applyBorder="1" applyAlignment="1">
      <alignment horizontal="center" vertical="center" wrapText="1"/>
    </xf>
    <xf numFmtId="0" fontId="15" fillId="0" borderId="117" xfId="0" applyFont="1" applyBorder="1" applyAlignment="1">
      <alignment wrapText="1"/>
    </xf>
    <xf numFmtId="9" fontId="15" fillId="0" borderId="73" xfId="1" applyFont="1" applyFill="1" applyBorder="1" applyAlignment="1">
      <alignment horizontal="center" vertical="center"/>
    </xf>
    <xf numFmtId="0" fontId="6" fillId="0" borderId="0" xfId="0" applyFont="1" applyAlignment="1">
      <alignment horizontal="right"/>
    </xf>
    <xf numFmtId="0" fontId="17" fillId="0" borderId="0" xfId="0" applyFont="1" applyAlignment="1">
      <alignment horizontal="right" wrapText="1"/>
    </xf>
    <xf numFmtId="0" fontId="0" fillId="0" borderId="25" xfId="0" applyBorder="1" applyAlignment="1">
      <alignment horizontal="center"/>
    </xf>
    <xf numFmtId="0" fontId="0" fillId="0" borderId="30" xfId="0" applyBorder="1" applyAlignment="1">
      <alignment horizontal="center"/>
    </xf>
    <xf numFmtId="0" fontId="2" fillId="0" borderId="0" xfId="0" applyFont="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0" fillId="0" borderId="12" xfId="0" applyBorder="1" applyAlignment="1">
      <alignment horizontal="center"/>
    </xf>
    <xf numFmtId="0" fontId="0" fillId="0" borderId="119" xfId="0" applyBorder="1" applyAlignment="1">
      <alignment horizontal="center"/>
    </xf>
    <xf numFmtId="0" fontId="0" fillId="0" borderId="14" xfId="0" applyBorder="1" applyAlignment="1">
      <alignment horizontal="center"/>
    </xf>
    <xf numFmtId="0" fontId="0" fillId="0" borderId="39" xfId="0" applyBorder="1" applyAlignment="1">
      <alignment horizontal="center"/>
    </xf>
    <xf numFmtId="0" fontId="0" fillId="0" borderId="20" xfId="0" applyBorder="1" applyAlignment="1">
      <alignment horizontal="center"/>
    </xf>
    <xf numFmtId="0" fontId="0" fillId="0" borderId="120" xfId="0" applyBorder="1" applyAlignment="1">
      <alignment horizontal="center"/>
    </xf>
    <xf numFmtId="0" fontId="2" fillId="0" borderId="121" xfId="0" applyFont="1" applyBorder="1" applyAlignment="1">
      <alignment horizontal="center"/>
    </xf>
    <xf numFmtId="0" fontId="2" fillId="0" borderId="104" xfId="0" applyFont="1" applyBorder="1" applyAlignment="1">
      <alignment horizontal="center"/>
    </xf>
    <xf numFmtId="0" fontId="2" fillId="0" borderId="122" xfId="0" applyFont="1" applyBorder="1" applyAlignment="1">
      <alignment horizontal="center"/>
    </xf>
    <xf numFmtId="0" fontId="0" fillId="0" borderId="35" xfId="0" applyBorder="1" applyAlignment="1">
      <alignment horizontal="center"/>
    </xf>
    <xf numFmtId="0" fontId="0" fillId="0" borderId="9" xfId="0" applyBorder="1"/>
    <xf numFmtId="0" fontId="0" fillId="0" borderId="31"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19" xfId="0" applyBorder="1"/>
    <xf numFmtId="0" fontId="0" fillId="0" borderId="14" xfId="0" applyBorder="1"/>
    <xf numFmtId="0" fontId="0" fillId="0" borderId="7" xfId="0" applyBorder="1" applyAlignment="1">
      <alignment horizontal="center" wrapText="1"/>
    </xf>
    <xf numFmtId="0" fontId="2" fillId="0" borderId="7" xfId="0" applyFont="1" applyBorder="1" applyAlignment="1">
      <alignment horizontal="center"/>
    </xf>
    <xf numFmtId="0" fontId="2" fillId="0" borderId="8" xfId="0" applyFont="1" applyBorder="1" applyAlignment="1">
      <alignment horizontal="center"/>
    </xf>
    <xf numFmtId="0" fontId="0" fillId="5" borderId="7" xfId="0" applyFill="1" applyBorder="1" applyAlignment="1">
      <alignment horizontal="center"/>
    </xf>
    <xf numFmtId="0" fontId="2" fillId="4" borderId="0" xfId="0" applyFont="1" applyFill="1"/>
    <xf numFmtId="0" fontId="0" fillId="0" borderId="0" xfId="0" applyAlignment="1">
      <alignment horizontal="center" wrapText="1"/>
    </xf>
    <xf numFmtId="0" fontId="15" fillId="0" borderId="123" xfId="0" applyFont="1" applyBorder="1" applyAlignment="1">
      <alignment horizontal="center" wrapText="1"/>
    </xf>
    <xf numFmtId="0" fontId="15" fillId="0" borderId="124" xfId="0" applyFont="1" applyBorder="1" applyAlignment="1">
      <alignment horizontal="center" vertical="center"/>
    </xf>
    <xf numFmtId="9" fontId="15" fillId="0" borderId="125" xfId="1" applyFont="1" applyBorder="1" applyAlignment="1">
      <alignment horizontal="center" vertical="center"/>
    </xf>
    <xf numFmtId="0" fontId="15" fillId="3" borderId="0" xfId="0" applyFont="1" applyFill="1" applyAlignment="1">
      <alignment horizontal="center" vertical="center"/>
    </xf>
    <xf numFmtId="9" fontId="15" fillId="3" borderId="0" xfId="1" applyFont="1" applyFill="1" applyBorder="1" applyAlignment="1">
      <alignment horizontal="center" vertical="center"/>
    </xf>
    <xf numFmtId="0" fontId="15" fillId="0" borderId="116" xfId="0" applyFont="1" applyBorder="1" applyAlignment="1">
      <alignment horizontal="center" vertical="center"/>
    </xf>
    <xf numFmtId="0" fontId="15" fillId="0" borderId="88" xfId="0" applyFont="1" applyBorder="1" applyAlignment="1">
      <alignment horizontal="center"/>
    </xf>
    <xf numFmtId="0" fontId="15" fillId="0" borderId="43" xfId="0" applyFont="1" applyBorder="1" applyAlignment="1">
      <alignment horizontal="left" wrapText="1"/>
    </xf>
    <xf numFmtId="9" fontId="15" fillId="0" borderId="74" xfId="1" applyFont="1" applyFill="1" applyBorder="1" applyAlignment="1">
      <alignment horizontal="center" vertical="center"/>
    </xf>
    <xf numFmtId="0" fontId="15" fillId="0" borderId="11" xfId="0" applyFont="1" applyBorder="1" applyAlignment="1">
      <alignment horizontal="left" wrapText="1"/>
    </xf>
    <xf numFmtId="0" fontId="15" fillId="0" borderId="78" xfId="0" applyFont="1" applyBorder="1" applyAlignment="1">
      <alignment horizontal="center" vertical="center"/>
    </xf>
    <xf numFmtId="9" fontId="15" fillId="0" borderId="83" xfId="1" applyFont="1" applyFill="1" applyBorder="1" applyAlignment="1">
      <alignment horizontal="center" vertical="center"/>
    </xf>
    <xf numFmtId="0" fontId="0" fillId="6" borderId="7" xfId="0" applyFill="1" applyBorder="1" applyAlignment="1">
      <alignment horizontal="center"/>
    </xf>
    <xf numFmtId="0" fontId="2" fillId="0" borderId="7" xfId="0" applyFont="1" applyBorder="1"/>
    <xf numFmtId="0" fontId="20" fillId="3" borderId="91" xfId="0" applyFont="1" applyFill="1" applyBorder="1" applyAlignment="1">
      <alignment horizontal="center" vertical="center"/>
    </xf>
    <xf numFmtId="9" fontId="20" fillId="3" borderId="82" xfId="1" applyFont="1" applyFill="1" applyBorder="1" applyAlignment="1">
      <alignment horizontal="center" vertical="center"/>
    </xf>
    <xf numFmtId="0" fontId="20" fillId="3" borderId="88" xfId="0" applyFont="1" applyFill="1" applyBorder="1" applyAlignment="1">
      <alignment horizontal="center"/>
    </xf>
    <xf numFmtId="9" fontId="20" fillId="3" borderId="65" xfId="1" applyFont="1" applyFill="1" applyBorder="1" applyAlignment="1">
      <alignment horizontal="center"/>
    </xf>
    <xf numFmtId="0" fontId="0" fillId="0" borderId="24" xfId="0" applyBorder="1" applyAlignment="1">
      <alignment horizontal="center" wrapText="1"/>
    </xf>
    <xf numFmtId="0" fontId="0" fillId="0" borderId="30" xfId="0" applyBorder="1" applyAlignment="1">
      <alignment horizontal="center" wrapText="1"/>
    </xf>
    <xf numFmtId="0" fontId="21" fillId="0" borderId="0" xfId="0" applyFont="1" applyAlignment="1">
      <alignment vertical="top"/>
    </xf>
    <xf numFmtId="0" fontId="21" fillId="0" borderId="0" xfId="0" applyFont="1" applyAlignment="1">
      <alignment horizontal="left" vertical="top" wrapText="1"/>
    </xf>
    <xf numFmtId="0" fontId="21" fillId="0" borderId="0" xfId="0" applyFont="1" applyAlignment="1">
      <alignment vertical="top" wrapText="1"/>
    </xf>
    <xf numFmtId="9" fontId="15" fillId="0" borderId="108" xfId="1" applyFont="1" applyFill="1" applyBorder="1" applyAlignment="1">
      <alignment horizontal="center" vertical="center"/>
    </xf>
    <xf numFmtId="9" fontId="15" fillId="0" borderId="65" xfId="1" applyFont="1" applyFill="1" applyBorder="1" applyAlignment="1">
      <alignment horizontal="center"/>
    </xf>
    <xf numFmtId="9" fontId="9" fillId="7" borderId="65" xfId="1" applyFont="1" applyFill="1" applyBorder="1" applyAlignment="1">
      <alignment horizontal="center" vertical="center"/>
    </xf>
    <xf numFmtId="9" fontId="15" fillId="7" borderId="65" xfId="1" applyFont="1" applyFill="1" applyBorder="1" applyAlignment="1">
      <alignment horizontal="center" vertical="center"/>
    </xf>
    <xf numFmtId="0" fontId="0" fillId="0" borderId="0" xfId="0" quotePrefix="1" applyAlignment="1">
      <alignment wrapText="1"/>
    </xf>
    <xf numFmtId="9" fontId="0" fillId="0" borderId="0" xfId="1" applyFont="1"/>
    <xf numFmtId="9" fontId="15" fillId="0" borderId="99" xfId="1" applyFont="1" applyFill="1" applyBorder="1" applyAlignment="1">
      <alignment horizontal="center"/>
    </xf>
    <xf numFmtId="9" fontId="15" fillId="0" borderId="118" xfId="1" applyFont="1" applyFill="1" applyBorder="1" applyAlignment="1">
      <alignment horizontal="center"/>
    </xf>
    <xf numFmtId="9" fontId="15" fillId="0" borderId="100" xfId="1" applyFont="1" applyFill="1" applyBorder="1" applyAlignment="1">
      <alignment horizontal="center"/>
    </xf>
    <xf numFmtId="0" fontId="6" fillId="0" borderId="1" xfId="0" applyFont="1" applyBorder="1"/>
    <xf numFmtId="0" fontId="15" fillId="0" borderId="15" xfId="0" applyFont="1" applyBorder="1" applyAlignment="1">
      <alignment horizontal="left"/>
    </xf>
    <xf numFmtId="0" fontId="15" fillId="0" borderId="15" xfId="0" applyFont="1" applyBorder="1"/>
    <xf numFmtId="0" fontId="15" fillId="0" borderId="15" xfId="0" applyFont="1" applyBorder="1" applyAlignment="1">
      <alignment horizontal="left" vertical="center" indent="5"/>
    </xf>
    <xf numFmtId="0" fontId="15" fillId="0" borderId="15" xfId="0" applyFont="1" applyBorder="1" applyAlignment="1">
      <alignment horizontal="left" vertical="center" wrapText="1" indent="5"/>
    </xf>
    <xf numFmtId="0" fontId="15" fillId="0" borderId="50" xfId="0" applyFont="1" applyBorder="1" applyAlignment="1">
      <alignment wrapText="1"/>
    </xf>
    <xf numFmtId="0" fontId="15" fillId="0" borderId="50" xfId="0" applyFont="1" applyBorder="1" applyAlignment="1">
      <alignment horizontal="left" wrapText="1"/>
    </xf>
    <xf numFmtId="0" fontId="11" fillId="0" borderId="3" xfId="0" applyFont="1" applyBorder="1" applyAlignment="1">
      <alignment horizontal="left" wrapText="1"/>
    </xf>
    <xf numFmtId="0" fontId="17" fillId="0" borderId="30" xfId="0" applyFont="1" applyBorder="1"/>
    <xf numFmtId="0" fontId="15" fillId="0" borderId="30" xfId="0" applyFont="1" applyBorder="1" applyAlignment="1">
      <alignment horizontal="left" wrapText="1"/>
    </xf>
    <xf numFmtId="0" fontId="15" fillId="0" borderId="30" xfId="0" applyFont="1" applyBorder="1" applyAlignment="1">
      <alignment horizontal="left" wrapText="1" indent="10"/>
    </xf>
    <xf numFmtId="0" fontId="15" fillId="0" borderId="30" xfId="0" applyFont="1" applyBorder="1" applyAlignment="1">
      <alignment horizontal="left" vertical="center" wrapText="1" indent="10"/>
    </xf>
    <xf numFmtId="0" fontId="15" fillId="0" borderId="30" xfId="0" applyFont="1" applyBorder="1" applyAlignment="1">
      <alignment wrapText="1"/>
    </xf>
    <xf numFmtId="0" fontId="15" fillId="0" borderId="30" xfId="0" applyFont="1" applyBorder="1"/>
    <xf numFmtId="0" fontId="15" fillId="0" borderId="30" xfId="0" applyFont="1" applyBorder="1" applyAlignment="1">
      <alignment horizontal="left" wrapText="1" indent="9"/>
    </xf>
    <xf numFmtId="0" fontId="15" fillId="0" borderId="30" xfId="0" applyFont="1" applyBorder="1" applyAlignment="1">
      <alignment horizontal="left" indent="9"/>
    </xf>
    <xf numFmtId="0" fontId="15" fillId="0" borderId="30" xfId="0" applyFont="1" applyBorder="1" applyAlignment="1">
      <alignment horizontal="left" indent="8"/>
    </xf>
    <xf numFmtId="0" fontId="15" fillId="0" borderId="30" xfId="0" applyFont="1" applyBorder="1" applyAlignment="1">
      <alignment horizontal="left" vertical="center" wrapText="1"/>
    </xf>
    <xf numFmtId="9" fontId="15" fillId="0" borderId="80" xfId="1" applyFont="1" applyFill="1" applyBorder="1" applyAlignment="1">
      <alignment horizontal="center" vertical="center"/>
    </xf>
    <xf numFmtId="9" fontId="15" fillId="0" borderId="34" xfId="1" applyFont="1" applyFill="1" applyBorder="1" applyAlignment="1">
      <alignment horizontal="center" vertical="center"/>
    </xf>
    <xf numFmtId="9" fontId="15" fillId="0" borderId="77" xfId="1" applyFont="1" applyFill="1" applyBorder="1" applyAlignment="1">
      <alignment horizontal="center" vertical="center"/>
    </xf>
    <xf numFmtId="9" fontId="15" fillId="0" borderId="84" xfId="1" applyFont="1" applyFill="1" applyBorder="1" applyAlignment="1">
      <alignment horizontal="center" vertical="center"/>
    </xf>
    <xf numFmtId="9" fontId="15" fillId="0" borderId="85" xfId="1" applyFont="1" applyFill="1" applyBorder="1" applyAlignment="1">
      <alignment horizontal="center" vertical="center"/>
    </xf>
    <xf numFmtId="9" fontId="15" fillId="0" borderId="106" xfId="1" applyFont="1" applyFill="1" applyBorder="1" applyAlignment="1">
      <alignment horizontal="center" vertical="center"/>
    </xf>
    <xf numFmtId="9" fontId="15" fillId="0" borderId="21" xfId="1" applyFont="1" applyFill="1" applyBorder="1" applyAlignment="1">
      <alignment horizontal="center" vertical="center"/>
    </xf>
    <xf numFmtId="9" fontId="15" fillId="0" borderId="109" xfId="1" applyFont="1" applyFill="1" applyBorder="1" applyAlignment="1">
      <alignment horizontal="center" vertical="center"/>
    </xf>
    <xf numFmtId="9" fontId="15" fillId="0" borderId="57" xfId="1" applyFont="1" applyFill="1" applyBorder="1" applyAlignment="1">
      <alignment horizontal="center"/>
    </xf>
    <xf numFmtId="9" fontId="15" fillId="0" borderId="103" xfId="1" applyFont="1" applyFill="1" applyBorder="1" applyAlignment="1">
      <alignment horizontal="center" vertical="center"/>
    </xf>
    <xf numFmtId="9" fontId="15" fillId="0" borderId="79" xfId="1" applyFont="1" applyFill="1" applyBorder="1" applyAlignment="1">
      <alignment horizontal="center" vertical="center"/>
    </xf>
    <xf numFmtId="9" fontId="15" fillId="0" borderId="112" xfId="1" applyFont="1" applyFill="1" applyBorder="1" applyAlignment="1">
      <alignment horizontal="center" vertical="center"/>
    </xf>
    <xf numFmtId="9" fontId="15" fillId="0" borderId="47" xfId="1" applyFont="1" applyFill="1" applyBorder="1" applyAlignment="1">
      <alignment horizontal="center" vertical="center"/>
    </xf>
    <xf numFmtId="9" fontId="15" fillId="0" borderId="67" xfId="1" applyFont="1" applyFill="1" applyBorder="1" applyAlignment="1">
      <alignment horizontal="center" vertical="center"/>
    </xf>
    <xf numFmtId="9" fontId="15" fillId="0" borderId="75" xfId="1" applyFont="1" applyFill="1" applyBorder="1" applyAlignment="1">
      <alignment horizontal="center" vertical="center"/>
    </xf>
    <xf numFmtId="9" fontId="15" fillId="0" borderId="113" xfId="1" applyFont="1" applyFill="1" applyBorder="1" applyAlignment="1">
      <alignment horizontal="center" vertical="center"/>
    </xf>
    <xf numFmtId="9" fontId="15" fillId="0" borderId="115" xfId="1" applyFont="1" applyFill="1" applyBorder="1" applyAlignment="1">
      <alignment horizontal="center" vertical="center"/>
    </xf>
    <xf numFmtId="0" fontId="21" fillId="0" borderId="0" xfId="0" applyFont="1" applyAlignment="1">
      <alignment horizontal="left"/>
    </xf>
    <xf numFmtId="0" fontId="21" fillId="0" borderId="0" xfId="0" applyFont="1" applyAlignment="1">
      <alignment horizontal="left" vertical="top"/>
    </xf>
    <xf numFmtId="9" fontId="9" fillId="0" borderId="65" xfId="1" applyFont="1" applyFill="1" applyBorder="1" applyAlignment="1">
      <alignment horizontal="center" vertical="center"/>
    </xf>
    <xf numFmtId="0" fontId="15" fillId="0" borderId="0" xfId="0" applyFont="1" applyAlignment="1">
      <alignment horizontal="left" indent="3"/>
    </xf>
    <xf numFmtId="0" fontId="17" fillId="0" borderId="0" xfId="0" applyFont="1" applyAlignment="1">
      <alignment horizontal="left"/>
    </xf>
    <xf numFmtId="0" fontId="15" fillId="0" borderId="11" xfId="0" applyFont="1" applyBorder="1" applyAlignment="1">
      <alignment horizontal="center"/>
    </xf>
    <xf numFmtId="9" fontId="15" fillId="0" borderId="12" xfId="1" applyFont="1" applyBorder="1" applyAlignment="1">
      <alignment horizontal="center"/>
    </xf>
    <xf numFmtId="0" fontId="15" fillId="0" borderId="13" xfId="0" applyFont="1" applyBorder="1" applyAlignment="1">
      <alignment horizontal="center"/>
    </xf>
    <xf numFmtId="9" fontId="15" fillId="0" borderId="14" xfId="1" applyFont="1" applyBorder="1" applyAlignment="1">
      <alignment horizontal="center"/>
    </xf>
    <xf numFmtId="0" fontId="17" fillId="0" borderId="0" xfId="0" applyFont="1" applyAlignment="1">
      <alignment horizontal="center"/>
    </xf>
    <xf numFmtId="0" fontId="15" fillId="0" borderId="0" xfId="0" applyFont="1" applyAlignment="1">
      <alignment horizontal="left" wrapText="1" indent="3"/>
    </xf>
    <xf numFmtId="0" fontId="15" fillId="0" borderId="26" xfId="0" applyFont="1" applyBorder="1" applyAlignment="1">
      <alignment horizontal="center"/>
    </xf>
    <xf numFmtId="9" fontId="15" fillId="0" borderId="26" xfId="1" applyFont="1" applyFill="1" applyBorder="1" applyAlignment="1">
      <alignment horizontal="center"/>
    </xf>
    <xf numFmtId="9" fontId="15" fillId="0" borderId="26" xfId="1" applyFont="1" applyBorder="1" applyAlignment="1">
      <alignment horizontal="center"/>
    </xf>
    <xf numFmtId="0" fontId="17" fillId="0" borderId="26" xfId="0" applyFont="1" applyBorder="1" applyAlignment="1">
      <alignment horizontal="center"/>
    </xf>
    <xf numFmtId="0" fontId="6" fillId="0" borderId="1" xfId="0" applyFont="1" applyBorder="1" applyAlignment="1">
      <alignment horizontal="center"/>
    </xf>
    <xf numFmtId="9" fontId="22" fillId="3" borderId="65" xfId="1" applyFont="1" applyFill="1" applyBorder="1" applyAlignment="1">
      <alignment horizontal="center" vertical="center"/>
    </xf>
    <xf numFmtId="0" fontId="23" fillId="3" borderId="88" xfId="0" applyFont="1" applyFill="1" applyBorder="1" applyAlignment="1">
      <alignment horizontal="center" vertical="center"/>
    </xf>
    <xf numFmtId="9" fontId="23" fillId="3" borderId="65" xfId="1" applyFont="1" applyFill="1" applyBorder="1" applyAlignment="1">
      <alignment horizontal="center" vertical="center"/>
    </xf>
    <xf numFmtId="0" fontId="22" fillId="3" borderId="67" xfId="0" applyFont="1" applyFill="1" applyBorder="1" applyAlignment="1">
      <alignment vertical="center"/>
    </xf>
    <xf numFmtId="0" fontId="24" fillId="0" borderId="0" xfId="0" applyFont="1" applyAlignment="1">
      <alignment vertical="center" wrapText="1"/>
    </xf>
    <xf numFmtId="0" fontId="25" fillId="0" borderId="0" xfId="0" applyFont="1" applyAlignment="1">
      <alignment horizontal="center"/>
    </xf>
    <xf numFmtId="0" fontId="6" fillId="0" borderId="0" xfId="0" applyFont="1" applyAlignment="1">
      <alignment vertical="top" wrapText="1"/>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vertical="top" wrapText="1"/>
    </xf>
    <xf numFmtId="0" fontId="27" fillId="0" borderId="0" xfId="0" applyFont="1"/>
    <xf numFmtId="0" fontId="2" fillId="0" borderId="0" xfId="0" applyFont="1" applyAlignment="1">
      <alignment horizontal="right"/>
    </xf>
    <xf numFmtId="0" fontId="2" fillId="2" borderId="7" xfId="0" applyFont="1" applyFill="1" applyBorder="1" applyAlignment="1">
      <alignment horizontal="left"/>
    </xf>
    <xf numFmtId="0" fontId="23" fillId="8" borderId="18" xfId="0" applyFont="1" applyFill="1" applyBorder="1"/>
    <xf numFmtId="0" fontId="23" fillId="8" borderId="7" xfId="0" applyFont="1" applyFill="1" applyBorder="1" applyAlignment="1">
      <alignment horizontal="left" indent="5"/>
    </xf>
    <xf numFmtId="0" fontId="22" fillId="3" borderId="88" xfId="0" applyFont="1" applyFill="1" applyBorder="1" applyAlignment="1">
      <alignment horizontal="center" vertical="center"/>
    </xf>
    <xf numFmtId="0" fontId="2" fillId="5" borderId="8" xfId="0" applyFont="1" applyFill="1" applyBorder="1" applyAlignment="1">
      <alignment horizontal="center"/>
    </xf>
    <xf numFmtId="0" fontId="23" fillId="9" borderId="7" xfId="0" applyFont="1" applyFill="1" applyBorder="1" applyAlignment="1">
      <alignment horizontal="left"/>
    </xf>
    <xf numFmtId="0" fontId="0" fillId="0" borderId="30"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121" xfId="0" applyBorder="1" applyAlignment="1">
      <alignment horizontal="center"/>
    </xf>
    <xf numFmtId="0" fontId="0" fillId="0" borderId="104" xfId="0" applyBorder="1" applyAlignment="1">
      <alignment horizontal="center"/>
    </xf>
    <xf numFmtId="0" fontId="0" fillId="0" borderId="122" xfId="0" applyBorder="1" applyAlignment="1">
      <alignment horizontal="center"/>
    </xf>
    <xf numFmtId="0" fontId="6" fillId="0" borderId="0" xfId="0" applyFont="1" applyAlignment="1">
      <alignment horizontal="left"/>
    </xf>
    <xf numFmtId="0" fontId="0" fillId="0" borderId="0" xfId="0" applyAlignment="1">
      <alignment horizontal="left" vertical="top" wrapText="1"/>
    </xf>
    <xf numFmtId="0" fontId="17" fillId="0" borderId="15" xfId="0" applyFont="1" applyBorder="1" applyAlignment="1">
      <alignment horizontal="center"/>
    </xf>
    <xf numFmtId="0" fontId="17" fillId="0" borderId="28" xfId="0" applyFont="1" applyBorder="1" applyAlignment="1">
      <alignment horizontal="center"/>
    </xf>
    <xf numFmtId="0" fontId="17" fillId="0" borderId="38" xfId="0" applyFont="1" applyBorder="1" applyAlignment="1">
      <alignment horizontal="center"/>
    </xf>
    <xf numFmtId="0" fontId="15" fillId="0" borderId="29" xfId="0" applyFont="1" applyBorder="1" applyAlignment="1">
      <alignment horizontal="center"/>
    </xf>
    <xf numFmtId="0" fontId="15" fillId="0" borderId="27" xfId="0" applyFont="1" applyBorder="1" applyAlignment="1">
      <alignment horizontal="center"/>
    </xf>
    <xf numFmtId="0" fontId="15" fillId="0" borderId="37" xfId="0" applyFont="1" applyBorder="1" applyAlignment="1">
      <alignment horizontal="center"/>
    </xf>
  </cellXfs>
  <cellStyles count="2">
    <cellStyle name="Normal" xfId="0" builtinId="0"/>
    <cellStyle name="Percent" xfId="1" builtinId="5"/>
  </cellStyles>
  <dxfs count="2">
    <dxf>
      <fill>
        <patternFill>
          <bgColor rgb="FFFF0000"/>
        </patternFill>
      </fill>
    </dxf>
    <dxf>
      <fill>
        <patternFill>
          <bgColor rgb="FFFFFF00"/>
        </patternFill>
      </fill>
    </dxf>
  </dxfs>
  <tableStyles count="0" defaultTableStyle="TableStyleMedium2" defaultPivotStyle="PivotStyleLight16"/>
  <colors>
    <mruColors>
      <color rgb="FFB32017"/>
      <color rgb="FF083459"/>
      <color rgb="FF082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Compliance (%) Summary for each section of this audit - Blood Components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2060"/>
            </a:solidFill>
            <a:ln>
              <a:solidFill>
                <a:srgbClr val="002060"/>
              </a:solidFill>
            </a:ln>
            <a:effectLst/>
          </c:spPr>
          <c:invertIfNegative val="0"/>
          <c:cat>
            <c:strRef>
              <c:f>'Component compliance summary'!$A$8:$A$14</c:f>
              <c:strCache>
                <c:ptCount val="7"/>
                <c:pt idx="0">
                  <c:v>PRE-TRANSFUSION CHECKS – TRANSFUSIONIST</c:v>
                </c:pt>
                <c:pt idx="1">
                  <c:v>PRE-TRANSFUSION CHECKS – TRANSFUSION SERVICE (TS) </c:v>
                </c:pt>
                <c:pt idx="2">
                  <c:v>TRANSFUSION </c:v>
                </c:pt>
                <c:pt idx="3">
                  <c:v>PATIENT IDENTIFICATION CHECKS</c:v>
                </c:pt>
                <c:pt idx="4">
                  <c:v>COMPONENT CHECKS</c:v>
                </c:pt>
                <c:pt idx="5">
                  <c:v>PROCEDURE CHECKS</c:v>
                </c:pt>
                <c:pt idx="6">
                  <c:v>POST-TRANSFUSION</c:v>
                </c:pt>
              </c:strCache>
            </c:strRef>
          </c:cat>
          <c:val>
            <c:numRef>
              <c:f>'Component compliance summary'!$B$8:$B$14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795-4AEA-BDCD-338D278E34F0}"/>
            </c:ext>
          </c:extLst>
        </c:ser>
        <c:dLbls>
          <c:showLegendKey val="0"/>
          <c:showVal val="0"/>
          <c:showCatName val="0"/>
          <c:showSerName val="0"/>
          <c:showPercent val="0"/>
          <c:showBubbleSize val="0"/>
        </c:dLbls>
        <c:gapWidth val="219"/>
        <c:overlap val="-27"/>
        <c:axId val="1329085471"/>
        <c:axId val="1329083391"/>
      </c:barChart>
      <c:catAx>
        <c:axId val="1329085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329083391"/>
        <c:crosses val="autoZero"/>
        <c:auto val="1"/>
        <c:lblAlgn val="ctr"/>
        <c:lblOffset val="100"/>
        <c:noMultiLvlLbl val="0"/>
      </c:catAx>
      <c:valAx>
        <c:axId val="13290833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290854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Transfusion Priority (%)</a:t>
            </a:r>
          </a:p>
          <a:p>
            <a:pPr>
              <a:defRPr/>
            </a:pPr>
            <a:r>
              <a:rPr lang="en-CA"/>
              <a:t>(All orders)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2060"/>
              </a:solidFill>
              <a:ln w="19050">
                <a:solidFill>
                  <a:schemeClr val="lt1"/>
                </a:solidFill>
              </a:ln>
              <a:effectLst/>
            </c:spPr>
            <c:extLst>
              <c:ext xmlns:c16="http://schemas.microsoft.com/office/drawing/2014/chart" uri="{C3380CC4-5D6E-409C-BE32-E72D297353CC}">
                <c16:uniqueId val="{00000001-FFB2-4165-9D06-EF16C6FA855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2-FFB2-4165-9D06-EF16C6FA855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A63-4733-8703-B28E9CDD0214}"/>
              </c:ext>
            </c:extLst>
          </c:dPt>
          <c:dLbls>
            <c:dLbl>
              <c:idx val="0"/>
              <c:layout>
                <c:manualLayout>
                  <c:x val="-0.1385693350831145"/>
                  <c:y val="-8.0734908136482861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543066491688539"/>
                      <c:h val="5.6212291645362511E-2"/>
                    </c:manualLayout>
                  </c15:layout>
                </c:ext>
                <c:ext xmlns:c16="http://schemas.microsoft.com/office/drawing/2014/chart" uri="{C3380CC4-5D6E-409C-BE32-E72D297353CC}">
                  <c16:uniqueId val="{00000001-FFB2-4165-9D06-EF16C6FA85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'Transfusion priority'!$A$6:$A$8</c:f>
              <c:strCache>
                <c:ptCount val="3"/>
                <c:pt idx="0">
                  <c:v>Routine</c:v>
                </c:pt>
                <c:pt idx="1">
                  <c:v>Urgent</c:v>
                </c:pt>
                <c:pt idx="2">
                  <c:v>STAT</c:v>
                </c:pt>
              </c:strCache>
            </c:strRef>
          </c:cat>
          <c:val>
            <c:numRef>
              <c:f>'Transfusion priority'!$C$6:$C$8</c:f>
              <c:numCache>
                <c:formatCode>0%</c:formatCode>
                <c:ptCount val="3"/>
                <c:pt idx="0">
                  <c:v>0</c:v>
                </c:pt>
                <c:pt idx="1">
                  <c:v>0</c:v>
                </c:pt>
                <c:pt idx="2">
                  <c:v>0</c:v>
                </c:pt>
              </c:numCache>
            </c:numRef>
          </c:val>
          <c:extLst>
            <c:ext xmlns:c16="http://schemas.microsoft.com/office/drawing/2014/chart" uri="{C3380CC4-5D6E-409C-BE32-E72D297353CC}">
              <c16:uniqueId val="{00000000-FFB2-4165-9D06-EF16C6FA855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Transfusion Priority (%)</a:t>
            </a:r>
          </a:p>
          <a:p>
            <a:pPr>
              <a:defRPr/>
            </a:pPr>
            <a:r>
              <a:rPr lang="en-CA"/>
              <a:t>(Blood</a:t>
            </a:r>
            <a:r>
              <a:rPr lang="en-CA" baseline="0"/>
              <a:t> Component </a:t>
            </a:r>
            <a:r>
              <a:rPr lang="en-CA"/>
              <a:t>orders)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solidFill>
              <a:srgbClr val="002060"/>
            </a:solidFill>
            <a:ln>
              <a:solidFill>
                <a:srgbClr val="002060"/>
              </a:solidFill>
            </a:ln>
          </c:spPr>
          <c:dPt>
            <c:idx val="0"/>
            <c:bubble3D val="0"/>
            <c:spPr>
              <a:solidFill>
                <a:srgbClr val="002060"/>
              </a:solidFill>
              <a:ln w="19050">
                <a:solidFill>
                  <a:srgbClr val="002060"/>
                </a:solidFill>
              </a:ln>
              <a:effectLst/>
            </c:spPr>
            <c:extLst>
              <c:ext xmlns:c16="http://schemas.microsoft.com/office/drawing/2014/chart" uri="{C3380CC4-5D6E-409C-BE32-E72D297353CC}">
                <c16:uniqueId val="{00000001-D7D2-45E6-AC33-A88F52109F32}"/>
              </c:ext>
            </c:extLst>
          </c:dPt>
          <c:dPt>
            <c:idx val="1"/>
            <c:bubble3D val="0"/>
            <c:spPr>
              <a:solidFill>
                <a:srgbClr val="FF0000"/>
              </a:solidFill>
              <a:ln w="19050">
                <a:solidFill>
                  <a:srgbClr val="FF0000"/>
                </a:solidFill>
              </a:ln>
              <a:effectLst/>
            </c:spPr>
            <c:extLst>
              <c:ext xmlns:c16="http://schemas.microsoft.com/office/drawing/2014/chart" uri="{C3380CC4-5D6E-409C-BE32-E72D297353CC}">
                <c16:uniqueId val="{00000003-D7D2-45E6-AC33-A88F52109F32}"/>
              </c:ext>
            </c:extLst>
          </c:dPt>
          <c:dPt>
            <c:idx val="2"/>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005-D7D2-45E6-AC33-A88F52109F32}"/>
              </c:ext>
            </c:extLst>
          </c:dPt>
          <c:dLbls>
            <c:dLbl>
              <c:idx val="2"/>
              <c:layout>
                <c:manualLayout>
                  <c:x val="1.652668416447944E-2"/>
                  <c:y val="8.43373975759955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D2-45E6-AC33-A88F52109F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'Transfusion priority'!$A$14:$A$16</c:f>
              <c:strCache>
                <c:ptCount val="3"/>
                <c:pt idx="0">
                  <c:v>Routine</c:v>
                </c:pt>
                <c:pt idx="1">
                  <c:v>Urgent</c:v>
                </c:pt>
                <c:pt idx="2">
                  <c:v>STAT</c:v>
                </c:pt>
              </c:strCache>
            </c:strRef>
          </c:cat>
          <c:val>
            <c:numRef>
              <c:f>'Transfusion priority'!$C$14:$C$16</c:f>
              <c:numCache>
                <c:formatCode>0%</c:formatCode>
                <c:ptCount val="3"/>
                <c:pt idx="0">
                  <c:v>0</c:v>
                </c:pt>
                <c:pt idx="1">
                  <c:v>0</c:v>
                </c:pt>
                <c:pt idx="2">
                  <c:v>0</c:v>
                </c:pt>
              </c:numCache>
            </c:numRef>
          </c:val>
          <c:extLst>
            <c:ext xmlns:c16="http://schemas.microsoft.com/office/drawing/2014/chart" uri="{C3380CC4-5D6E-409C-BE32-E72D297353CC}">
              <c16:uniqueId val="{00000006-D7D2-45E6-AC33-A88F52109F3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Transfusion Priority (%)</a:t>
            </a:r>
          </a:p>
          <a:p>
            <a:pPr>
              <a:defRPr/>
            </a:pPr>
            <a:r>
              <a:rPr lang="en-CA"/>
              <a:t>(Blood</a:t>
            </a:r>
            <a:r>
              <a:rPr lang="en-CA" baseline="0"/>
              <a:t> Product </a:t>
            </a:r>
            <a:r>
              <a:rPr lang="en-CA"/>
              <a:t>orders)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solidFill>
              <a:srgbClr val="002060"/>
            </a:solidFill>
            <a:ln>
              <a:solidFill>
                <a:schemeClr val="bg1">
                  <a:lumMod val="50000"/>
                </a:schemeClr>
              </a:solidFill>
            </a:ln>
          </c:spPr>
          <c:dPt>
            <c:idx val="0"/>
            <c:bubble3D val="0"/>
            <c:spPr>
              <a:solidFill>
                <a:srgbClr val="002060"/>
              </a:solidFill>
              <a:ln w="19050">
                <a:solidFill>
                  <a:schemeClr val="bg1">
                    <a:lumMod val="50000"/>
                  </a:schemeClr>
                </a:solidFill>
              </a:ln>
              <a:effectLst/>
            </c:spPr>
            <c:extLst>
              <c:ext xmlns:c16="http://schemas.microsoft.com/office/drawing/2014/chart" uri="{C3380CC4-5D6E-409C-BE32-E72D297353CC}">
                <c16:uniqueId val="{00000001-A55F-48B2-B8BF-E9100D146D89}"/>
              </c:ext>
            </c:extLst>
          </c:dPt>
          <c:dPt>
            <c:idx val="1"/>
            <c:bubble3D val="0"/>
            <c:spPr>
              <a:solidFill>
                <a:srgbClr val="FF0000"/>
              </a:solidFill>
              <a:ln w="19050">
                <a:solidFill>
                  <a:srgbClr val="FF0000"/>
                </a:solidFill>
              </a:ln>
              <a:effectLst/>
            </c:spPr>
            <c:extLst>
              <c:ext xmlns:c16="http://schemas.microsoft.com/office/drawing/2014/chart" uri="{C3380CC4-5D6E-409C-BE32-E72D297353CC}">
                <c16:uniqueId val="{00000003-A55F-48B2-B8BF-E9100D146D89}"/>
              </c:ext>
            </c:extLst>
          </c:dPt>
          <c:dPt>
            <c:idx val="2"/>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005-A55F-48B2-B8BF-E9100D146D89}"/>
              </c:ext>
            </c:extLst>
          </c:dPt>
          <c:dLbls>
            <c:dLbl>
              <c:idx val="2"/>
              <c:layout>
                <c:manualLayout>
                  <c:x val="-1.0426509186351705E-3"/>
                  <c:y val="0.103895929213834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5F-48B2-B8BF-E9100D146D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'Transfusion priority'!$A$21:$A$23</c:f>
              <c:strCache>
                <c:ptCount val="3"/>
                <c:pt idx="0">
                  <c:v>Routine</c:v>
                </c:pt>
                <c:pt idx="1">
                  <c:v>Urgent</c:v>
                </c:pt>
                <c:pt idx="2">
                  <c:v>STAT</c:v>
                </c:pt>
              </c:strCache>
            </c:strRef>
          </c:cat>
          <c:val>
            <c:numRef>
              <c:f>'Transfusion priority'!$C$21:$C$23</c:f>
              <c:numCache>
                <c:formatCode>0%</c:formatCode>
                <c:ptCount val="3"/>
                <c:pt idx="0">
                  <c:v>0</c:v>
                </c:pt>
                <c:pt idx="1">
                  <c:v>0</c:v>
                </c:pt>
                <c:pt idx="2">
                  <c:v>0</c:v>
                </c:pt>
              </c:numCache>
            </c:numRef>
          </c:val>
          <c:extLst>
            <c:ext xmlns:c16="http://schemas.microsoft.com/office/drawing/2014/chart" uri="{C3380CC4-5D6E-409C-BE32-E72D297353CC}">
              <c16:uniqueId val="{00000006-A55F-48B2-B8BF-E9100D146D8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All Orders (%) per Transfusion Location (Ward/Area)  </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8AC-44DF-9722-5DA494D23E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8AC-44DF-9722-5DA494D23EA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8AC-44DF-9722-5DA494D23EA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8AC-44DF-9722-5DA494D23EA9}"/>
              </c:ext>
            </c:extLst>
          </c:dPt>
          <c:dPt>
            <c:idx val="4"/>
            <c:bubble3D val="0"/>
            <c:spPr>
              <a:solidFill>
                <a:srgbClr val="FF0000"/>
              </a:solidFill>
              <a:ln w="19050">
                <a:solidFill>
                  <a:schemeClr val="lt1"/>
                </a:solidFill>
              </a:ln>
              <a:effectLst/>
            </c:spPr>
            <c:extLst>
              <c:ext xmlns:c16="http://schemas.microsoft.com/office/drawing/2014/chart" uri="{C3380CC4-5D6E-409C-BE32-E72D297353CC}">
                <c16:uniqueId val="{00000001-171A-4249-89BB-472FF7137B8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8AC-44DF-9722-5DA494D23EA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8AC-44DF-9722-5DA494D23EA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8AC-44DF-9722-5DA494D23EA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B60-4105-9F3E-CF5ABAA3806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EB60-4105-9F3E-CF5ABAA3806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'Ward Area'!$A$5:$A$14</c:f>
              <c:strCache>
                <c:ptCount val="10"/>
                <c:pt idx="0">
                  <c:v>Chronic Care/Rehabilitation</c:v>
                </c:pt>
                <c:pt idx="1">
                  <c:v>Emergency</c:v>
                </c:pt>
                <c:pt idx="2">
                  <c:v>Intensive/Cardiac Care Unit</c:v>
                </c:pt>
                <c:pt idx="3">
                  <c:v>Medical/Surgical Ward</c:v>
                </c:pt>
                <c:pt idx="4">
                  <c:v>Neonatal/Pediatric</c:v>
                </c:pt>
                <c:pt idx="5">
                  <c:v>Obstetrical Unit</c:v>
                </c:pt>
                <c:pt idx="6">
                  <c:v>Operating Room</c:v>
                </c:pt>
                <c:pt idx="7">
                  <c:v>Outpatient Clinic</c:v>
                </c:pt>
                <c:pt idx="8">
                  <c:v>Post Anesthetic Care Unit</c:v>
                </c:pt>
                <c:pt idx="9">
                  <c:v>Other</c:v>
                </c:pt>
              </c:strCache>
            </c:strRef>
          </c:cat>
          <c:val>
            <c:numRef>
              <c:f>'Ward Area'!$C$5:$C$14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1A-4249-89BB-472FF7137B8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Blood Component Orders (%) per Transfusion Location (Ward/Area) </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'Ward Area'!$B$23</c:f>
              <c:strCache>
                <c:ptCount val="1"/>
                <c:pt idx="0">
                  <c:v>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06-43BE-9493-A4B2D75EC0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06-43BE-9493-A4B2D75EC0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06-43BE-9493-A4B2D75EC0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06-43BE-9493-A4B2D75EC0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706-43BE-9493-A4B2D75EC05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706-43BE-9493-A4B2D75EC05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706-43BE-9493-A4B2D75EC05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706-43BE-9493-A4B2D75EC05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706-43BE-9493-A4B2D75EC05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706-43BE-9493-A4B2D75EC0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'Ward Area'!$A$24:$A$33</c:f>
              <c:strCache>
                <c:ptCount val="10"/>
                <c:pt idx="0">
                  <c:v>Chronic Care/Rehabilitation</c:v>
                </c:pt>
                <c:pt idx="1">
                  <c:v>Emergency</c:v>
                </c:pt>
                <c:pt idx="2">
                  <c:v>Intensive/Cardiac Care Unit</c:v>
                </c:pt>
                <c:pt idx="3">
                  <c:v>Medical/Surgical Ward</c:v>
                </c:pt>
                <c:pt idx="4">
                  <c:v>Neonatal/Pediatric</c:v>
                </c:pt>
                <c:pt idx="5">
                  <c:v>Obstetrical Unit</c:v>
                </c:pt>
                <c:pt idx="6">
                  <c:v>Operating Room</c:v>
                </c:pt>
                <c:pt idx="7">
                  <c:v>Outpatient Clinic</c:v>
                </c:pt>
                <c:pt idx="8">
                  <c:v>Post Anesthetic Care Unit</c:v>
                </c:pt>
                <c:pt idx="9">
                  <c:v>Other</c:v>
                </c:pt>
              </c:strCache>
            </c:strRef>
          </c:cat>
          <c:val>
            <c:numRef>
              <c:f>'Ward Area'!$B$24:$B$33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A706-43BE-9493-A4B2D75EC05D}"/>
            </c:ext>
          </c:extLst>
        </c:ser>
        <c:ser>
          <c:idx val="1"/>
          <c:order val="1"/>
          <c:tx>
            <c:strRef>
              <c:f>'Ward Area'!$C$23</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5-108C-4AE4-BCB2-6CFDFEFA7D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7-108C-4AE4-BCB2-6CFDFEFA7D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9-108C-4AE4-BCB2-6CFDFEFA7D2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B-108C-4AE4-BCB2-6CFDFEFA7D2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D-108C-4AE4-BCB2-6CFDFEFA7D2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F-108C-4AE4-BCB2-6CFDFEFA7D2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1-108C-4AE4-BCB2-6CFDFEFA7D2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3-108C-4AE4-BCB2-6CFDFEFA7D2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108C-4AE4-BCB2-6CFDFEFA7D2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108C-4AE4-BCB2-6CFDFEFA7D2B}"/>
              </c:ext>
            </c:extLst>
          </c:dPt>
          <c:cat>
            <c:strRef>
              <c:f>'Ward Area'!$A$24:$A$33</c:f>
              <c:strCache>
                <c:ptCount val="10"/>
                <c:pt idx="0">
                  <c:v>Chronic Care/Rehabilitation</c:v>
                </c:pt>
                <c:pt idx="1">
                  <c:v>Emergency</c:v>
                </c:pt>
                <c:pt idx="2">
                  <c:v>Intensive/Cardiac Care Unit</c:v>
                </c:pt>
                <c:pt idx="3">
                  <c:v>Medical/Surgical Ward</c:v>
                </c:pt>
                <c:pt idx="4">
                  <c:v>Neonatal/Pediatric</c:v>
                </c:pt>
                <c:pt idx="5">
                  <c:v>Obstetrical Unit</c:v>
                </c:pt>
                <c:pt idx="6">
                  <c:v>Operating Room</c:v>
                </c:pt>
                <c:pt idx="7">
                  <c:v>Outpatient Clinic</c:v>
                </c:pt>
                <c:pt idx="8">
                  <c:v>Post Anesthetic Care Unit</c:v>
                </c:pt>
                <c:pt idx="9">
                  <c:v>Other</c:v>
                </c:pt>
              </c:strCache>
            </c:strRef>
          </c:cat>
          <c:val>
            <c:numRef>
              <c:f>'Ward Area'!$C$24:$C$33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5-A706-43BE-9493-A4B2D75EC05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Blood Product Orders (%) per Transfusion Location (Ward/Area)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AC1-4AB7-8093-288678BB57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AC1-4AB7-8093-288678BB57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AC1-4AB7-8093-288678BB57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AC1-4AB7-8093-288678BB57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AC1-4AB7-8093-288678BB57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AC1-4AB7-8093-288678BB57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AC1-4AB7-8093-288678BB577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AC1-4AB7-8093-288678BB577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AC1-4AB7-8093-288678BB577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3AC1-4AB7-8093-288678BB577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'Ward Area'!$A$48:$A$57</c:f>
              <c:strCache>
                <c:ptCount val="10"/>
                <c:pt idx="0">
                  <c:v>Chronic Care/Rehabilitation</c:v>
                </c:pt>
                <c:pt idx="1">
                  <c:v>Emergency</c:v>
                </c:pt>
                <c:pt idx="2">
                  <c:v>Intensive/Cardiac Care Unit</c:v>
                </c:pt>
                <c:pt idx="3">
                  <c:v>Medical/Surgical Ward</c:v>
                </c:pt>
                <c:pt idx="4">
                  <c:v>Neonatal/Pediatric</c:v>
                </c:pt>
                <c:pt idx="5">
                  <c:v>Obstetrical Unit</c:v>
                </c:pt>
                <c:pt idx="6">
                  <c:v>Operating Room</c:v>
                </c:pt>
                <c:pt idx="7">
                  <c:v>Outpatient Clinic</c:v>
                </c:pt>
                <c:pt idx="8">
                  <c:v>Post Anesthetic Care Unit</c:v>
                </c:pt>
                <c:pt idx="9">
                  <c:v>Other</c:v>
                </c:pt>
              </c:strCache>
            </c:strRef>
          </c:cat>
          <c:val>
            <c:numRef>
              <c:f>'Ward Area'!$B$48:$B$57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3AC1-4AB7-8093-288678BB577D}"/>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5-2F48-4C8C-8DC4-102756D7A5D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7-2F48-4C8C-8DC4-102756D7A5D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9-2F48-4C8C-8DC4-102756D7A5D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B-2F48-4C8C-8DC4-102756D7A5D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D-2F48-4C8C-8DC4-102756D7A5D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F-2F48-4C8C-8DC4-102756D7A5D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1-2F48-4C8C-8DC4-102756D7A5D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3-2F48-4C8C-8DC4-102756D7A5D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2F48-4C8C-8DC4-102756D7A5D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2F48-4C8C-8DC4-102756D7A5DB}"/>
              </c:ext>
            </c:extLst>
          </c:dPt>
          <c:cat>
            <c:strRef>
              <c:f>'Ward Area'!$A$48:$A$57</c:f>
              <c:strCache>
                <c:ptCount val="10"/>
                <c:pt idx="0">
                  <c:v>Chronic Care/Rehabilitation</c:v>
                </c:pt>
                <c:pt idx="1">
                  <c:v>Emergency</c:v>
                </c:pt>
                <c:pt idx="2">
                  <c:v>Intensive/Cardiac Care Unit</c:v>
                </c:pt>
                <c:pt idx="3">
                  <c:v>Medical/Surgical Ward</c:v>
                </c:pt>
                <c:pt idx="4">
                  <c:v>Neonatal/Pediatric</c:v>
                </c:pt>
                <c:pt idx="5">
                  <c:v>Obstetrical Unit</c:v>
                </c:pt>
                <c:pt idx="6">
                  <c:v>Operating Room</c:v>
                </c:pt>
                <c:pt idx="7">
                  <c:v>Outpatient Clinic</c:v>
                </c:pt>
                <c:pt idx="8">
                  <c:v>Post Anesthetic Care Unit</c:v>
                </c:pt>
                <c:pt idx="9">
                  <c:v>Other</c:v>
                </c:pt>
              </c:strCache>
            </c:strRef>
          </c:cat>
          <c:val>
            <c:numRef>
              <c:f>'Ward Area'!$C$48:$C$57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A3B5-467C-9C98-21F5BD114F4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Blood Component</a:t>
            </a:r>
            <a:r>
              <a:rPr lang="en-CA" baseline="0"/>
              <a:t>s</a:t>
            </a:r>
            <a:r>
              <a:rPr lang="en-CA"/>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2060"/>
              </a:solidFill>
              <a:ln w="19050">
                <a:solidFill>
                  <a:schemeClr val="lt1"/>
                </a:solidFill>
              </a:ln>
              <a:effectLst/>
            </c:spPr>
            <c:extLst>
              <c:ext xmlns:c16="http://schemas.microsoft.com/office/drawing/2014/chart" uri="{C3380CC4-5D6E-409C-BE32-E72D297353CC}">
                <c16:uniqueId val="{00000001-F7AE-40C8-925E-73972B158704}"/>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2-F7AE-40C8-925E-73972B1587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839-44C8-89BB-2B32549B33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839-44C8-89BB-2B32549B33BF}"/>
              </c:ext>
            </c:extLst>
          </c:dPt>
          <c:dLbls>
            <c:dLbl>
              <c:idx val="3"/>
              <c:tx>
                <c:rich>
                  <a:bodyPr/>
                  <a:lstStyle/>
                  <a:p>
                    <a:fld id="{D876636C-3650-41CA-B8C9-E4516910A4DE}" type="VALUE">
                      <a:rPr lang="en-US">
                        <a:solidFill>
                          <a:schemeClr val="tx1"/>
                        </a:solidFill>
                      </a:rPr>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839-44C8-89BB-2B32549B33B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'Component type'!$A$5:$A$8</c:f>
              <c:strCache>
                <c:ptCount val="4"/>
                <c:pt idx="0">
                  <c:v>RBC</c:v>
                </c:pt>
                <c:pt idx="1">
                  <c:v>PLATELETS</c:v>
                </c:pt>
                <c:pt idx="2">
                  <c:v>PLASMA</c:v>
                </c:pt>
                <c:pt idx="3">
                  <c:v>CRYOPRECIPITATE</c:v>
                </c:pt>
              </c:strCache>
            </c:strRef>
          </c:cat>
          <c:val>
            <c:numRef>
              <c:f>'Component type'!$C$5:$C$8</c:f>
              <c:numCache>
                <c:formatCode>0%</c:formatCode>
                <c:ptCount val="4"/>
                <c:pt idx="0">
                  <c:v>0</c:v>
                </c:pt>
                <c:pt idx="1">
                  <c:v>0</c:v>
                </c:pt>
                <c:pt idx="2">
                  <c:v>0</c:v>
                </c:pt>
                <c:pt idx="3">
                  <c:v>0</c:v>
                </c:pt>
              </c:numCache>
            </c:numRef>
          </c:val>
          <c:extLst>
            <c:ext xmlns:c16="http://schemas.microsoft.com/office/drawing/2014/chart" uri="{C3380CC4-5D6E-409C-BE32-E72D297353CC}">
              <c16:uniqueId val="{00000000-F7AE-40C8-925E-73972B15870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Blood Products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2060"/>
              </a:solidFill>
              <a:ln w="19050">
                <a:solidFill>
                  <a:schemeClr val="lt1"/>
                </a:solidFill>
              </a:ln>
              <a:effectLst/>
            </c:spPr>
            <c:extLst>
              <c:ext xmlns:c16="http://schemas.microsoft.com/office/drawing/2014/chart" uri="{C3380CC4-5D6E-409C-BE32-E72D297353CC}">
                <c16:uniqueId val="{00000001-689C-4533-AD5B-893C433AC52E}"/>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689C-4533-AD5B-893C433AC52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89C-4533-AD5B-893C433AC52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89C-4533-AD5B-893C433AC52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857-49E7-A98C-44A64E42B88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'Product type'!$A$5:$A$9</c:f>
              <c:strCache>
                <c:ptCount val="5"/>
                <c:pt idx="0">
                  <c:v>Albumin</c:v>
                </c:pt>
                <c:pt idx="1">
                  <c:v>Fibringen Concentrate</c:v>
                </c:pt>
                <c:pt idx="2">
                  <c:v>Intravenous Immune Globulin</c:v>
                </c:pt>
                <c:pt idx="3">
                  <c:v>Prothrombin Complex Concentrate</c:v>
                </c:pt>
                <c:pt idx="4">
                  <c:v>Other</c:v>
                </c:pt>
              </c:strCache>
            </c:strRef>
          </c:cat>
          <c:val>
            <c:numRef>
              <c:f>'Product type'!$C$5:$C$9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689C-4533-AD5B-893C433AC52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483870</xdr:colOff>
      <xdr:row>0</xdr:row>
      <xdr:rowOff>66675</xdr:rowOff>
    </xdr:from>
    <xdr:to>
      <xdr:col>25</xdr:col>
      <xdr:colOff>217170</xdr:colOff>
      <xdr:row>18</xdr:row>
      <xdr:rowOff>150495</xdr:rowOff>
    </xdr:to>
    <xdr:graphicFrame macro="">
      <xdr:nvGraphicFramePr>
        <xdr:cNvPr id="4" name="Chart 3">
          <a:extLst>
            <a:ext uri="{FF2B5EF4-FFF2-40B4-BE49-F238E27FC236}">
              <a16:creationId xmlns:a16="http://schemas.microsoft.com/office/drawing/2014/main" id="{B7FE117A-B811-4084-A11B-72E645DD44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548640</xdr:colOff>
      <xdr:row>0</xdr:row>
      <xdr:rowOff>0</xdr:rowOff>
    </xdr:from>
    <xdr:to>
      <xdr:col>11</xdr:col>
      <xdr:colOff>243840</xdr:colOff>
      <xdr:row>14</xdr:row>
      <xdr:rowOff>167640</xdr:rowOff>
    </xdr:to>
    <xdr:graphicFrame macro="">
      <xdr:nvGraphicFramePr>
        <xdr:cNvPr id="2" name="Chart 1">
          <a:extLst>
            <a:ext uri="{FF2B5EF4-FFF2-40B4-BE49-F238E27FC236}">
              <a16:creationId xmlns:a16="http://schemas.microsoft.com/office/drawing/2014/main" id="{13881445-C9A3-D172-2000-ADB3B98017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601980</xdr:colOff>
      <xdr:row>16</xdr:row>
      <xdr:rowOff>0</xdr:rowOff>
    </xdr:from>
    <xdr:to>
      <xdr:col>11</xdr:col>
      <xdr:colOff>297180</xdr:colOff>
      <xdr:row>29</xdr:row>
      <xdr:rowOff>175260</xdr:rowOff>
    </xdr:to>
    <xdr:graphicFrame macro="">
      <xdr:nvGraphicFramePr>
        <xdr:cNvPr id="3" name="Chart 2">
          <a:extLst>
            <a:ext uri="{FF2B5EF4-FFF2-40B4-BE49-F238E27FC236}">
              <a16:creationId xmlns:a16="http://schemas.microsoft.com/office/drawing/2014/main" id="{8757FD60-4A93-48E0-990B-C49C08B25705}"/>
            </a:ext>
            <a:ext uri="{147F2762-F138-4A5C-976F-8EAC2B608ADB}">
              <a16:predDERef xmlns:a16="http://schemas.microsoft.com/office/drawing/2014/main" pred="{13881445-C9A3-D172-2000-ADB3B98017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xdr:colOff>
      <xdr:row>30</xdr:row>
      <xdr:rowOff>160020</xdr:rowOff>
    </xdr:from>
    <xdr:to>
      <xdr:col>11</xdr:col>
      <xdr:colOff>312420</xdr:colOff>
      <xdr:row>45</xdr:row>
      <xdr:rowOff>167640</xdr:rowOff>
    </xdr:to>
    <xdr:graphicFrame macro="">
      <xdr:nvGraphicFramePr>
        <xdr:cNvPr id="4" name="Chart 3">
          <a:extLst>
            <a:ext uri="{FF2B5EF4-FFF2-40B4-BE49-F238E27FC236}">
              <a16:creationId xmlns:a16="http://schemas.microsoft.com/office/drawing/2014/main" id="{77832B0C-1A1D-4004-B86A-7926243219F8}"/>
            </a:ext>
            <a:ext uri="{147F2762-F138-4A5C-976F-8EAC2B608ADB}">
              <a16:predDERef xmlns:a16="http://schemas.microsoft.com/office/drawing/2014/main" pred="{8757FD60-4A93-48E0-990B-C49C08B25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586740</xdr:colOff>
      <xdr:row>0</xdr:row>
      <xdr:rowOff>0</xdr:rowOff>
    </xdr:from>
    <xdr:to>
      <xdr:col>14</xdr:col>
      <xdr:colOff>601980</xdr:colOff>
      <xdr:row>18</xdr:row>
      <xdr:rowOff>83820</xdr:rowOff>
    </xdr:to>
    <xdr:graphicFrame macro="">
      <xdr:nvGraphicFramePr>
        <xdr:cNvPr id="2" name="Chart 1">
          <a:extLst>
            <a:ext uri="{FF2B5EF4-FFF2-40B4-BE49-F238E27FC236}">
              <a16:creationId xmlns:a16="http://schemas.microsoft.com/office/drawing/2014/main" id="{1FABABAA-F0C0-0471-49A7-705BDFC8C8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15</xdr:col>
      <xdr:colOff>15240</xdr:colOff>
      <xdr:row>40</xdr:row>
      <xdr:rowOff>91440</xdr:rowOff>
    </xdr:to>
    <xdr:graphicFrame macro="">
      <xdr:nvGraphicFramePr>
        <xdr:cNvPr id="3" name="Chart 2">
          <a:extLst>
            <a:ext uri="{FF2B5EF4-FFF2-40B4-BE49-F238E27FC236}">
              <a16:creationId xmlns:a16="http://schemas.microsoft.com/office/drawing/2014/main" id="{9667AEA9-5715-490E-85A2-9134DD5E75C2}"/>
            </a:ext>
            <a:ext uri="{147F2762-F138-4A5C-976F-8EAC2B608ADB}">
              <a16:predDERef xmlns:a16="http://schemas.microsoft.com/office/drawing/2014/main" pred="{1FABABAA-F0C0-0471-49A7-705BDFC8C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46</xdr:row>
      <xdr:rowOff>0</xdr:rowOff>
    </xdr:from>
    <xdr:to>
      <xdr:col>15</xdr:col>
      <xdr:colOff>15240</xdr:colOff>
      <xdr:row>64</xdr:row>
      <xdr:rowOff>91440</xdr:rowOff>
    </xdr:to>
    <xdr:graphicFrame macro="">
      <xdr:nvGraphicFramePr>
        <xdr:cNvPr id="4" name="Chart 3">
          <a:extLst>
            <a:ext uri="{FF2B5EF4-FFF2-40B4-BE49-F238E27FC236}">
              <a16:creationId xmlns:a16="http://schemas.microsoft.com/office/drawing/2014/main" id="{B5D84289-B797-44ED-9F76-ABB2C74F3422}"/>
            </a:ext>
            <a:ext uri="{147F2762-F138-4A5C-976F-8EAC2B608ADB}">
              <a16:predDERef xmlns:a16="http://schemas.microsoft.com/office/drawing/2014/main" pred="{9667AEA9-5715-490E-85A2-9134DD5E75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601980</xdr:colOff>
      <xdr:row>0</xdr:row>
      <xdr:rowOff>0</xdr:rowOff>
    </xdr:from>
    <xdr:to>
      <xdr:col>11</xdr:col>
      <xdr:colOff>297180</xdr:colOff>
      <xdr:row>14</xdr:row>
      <xdr:rowOff>137160</xdr:rowOff>
    </xdr:to>
    <xdr:graphicFrame macro="">
      <xdr:nvGraphicFramePr>
        <xdr:cNvPr id="2" name="Chart 1">
          <a:extLst>
            <a:ext uri="{FF2B5EF4-FFF2-40B4-BE49-F238E27FC236}">
              <a16:creationId xmlns:a16="http://schemas.microsoft.com/office/drawing/2014/main" id="{8AFBE290-4CDE-CD23-8865-98863E53F8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594360</xdr:colOff>
      <xdr:row>2</xdr:row>
      <xdr:rowOff>7620</xdr:rowOff>
    </xdr:from>
    <xdr:to>
      <xdr:col>13</xdr:col>
      <xdr:colOff>106680</xdr:colOff>
      <xdr:row>16</xdr:row>
      <xdr:rowOff>175260</xdr:rowOff>
    </xdr:to>
    <xdr:graphicFrame macro="">
      <xdr:nvGraphicFramePr>
        <xdr:cNvPr id="2" name="Chart 1">
          <a:extLst>
            <a:ext uri="{FF2B5EF4-FFF2-40B4-BE49-F238E27FC236}">
              <a16:creationId xmlns:a16="http://schemas.microsoft.com/office/drawing/2014/main" id="{2B6ECF05-0370-4B02-9AF1-E36065C02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Rebecca Barty" id="{D432B77E-48C5-4A39-82D5-84A277E60BD2}" userId="S::becki@orbcon1.onmicrosoft.com::3897454e-a1ee-4d83-940d-12e504fea33a"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1" dT="2023-07-20T13:26:00.85" personId="{D432B77E-48C5-4A39-82D5-84A277E60BD2}" id="{9ACB2F73-80A9-430F-8003-A2C5316175FB}">
    <text>DATA Cleaned for analysis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367AA-B12B-4ED5-93F8-EDA7D3232F03}">
  <sheetPr codeName="Sheet1">
    <tabColor rgb="FFB32017"/>
  </sheetPr>
  <dimension ref="A1:CX1"/>
  <sheetViews>
    <sheetView tabSelected="1" zoomScale="90" zoomScaleNormal="90" workbookViewId="0"/>
  </sheetViews>
  <sheetFormatPr baseColWidth="10" defaultColWidth="8.83203125" defaultRowHeight="15" x14ac:dyDescent="0.2"/>
  <cols>
    <col min="1" max="1" width="11.5" customWidth="1"/>
    <col min="2" max="2" width="23" bestFit="1" customWidth="1"/>
    <col min="3" max="3" width="47.5" customWidth="1"/>
    <col min="4" max="4" width="18.1640625" bestFit="1" customWidth="1"/>
    <col min="7" max="7" width="21.5" customWidth="1"/>
    <col min="8" max="8" width="10.5" bestFit="1" customWidth="1"/>
    <col min="10" max="10" width="7.5" customWidth="1"/>
    <col min="11" max="11" width="17.5" customWidth="1"/>
    <col min="12" max="12" width="14.5" customWidth="1"/>
    <col min="13" max="15" width="8.83203125" customWidth="1"/>
    <col min="16" max="16" width="11.5" customWidth="1"/>
    <col min="17" max="24" width="8.83203125" customWidth="1"/>
    <col min="25" max="25" width="13.5" customWidth="1"/>
    <col min="26" max="28" width="8.83203125" customWidth="1"/>
    <col min="29" max="29" width="14.1640625" customWidth="1"/>
    <col min="30" max="30" width="8.83203125" style="45" customWidth="1"/>
    <col min="31" max="42" width="8.83203125" customWidth="1"/>
    <col min="43" max="43" width="47.5" customWidth="1"/>
    <col min="44" max="58" width="8.83203125" customWidth="1"/>
    <col min="59" max="59" width="8.83203125" style="45" customWidth="1"/>
    <col min="60" max="60" width="8.83203125" customWidth="1"/>
    <col min="61" max="61" width="17.5" customWidth="1"/>
    <col min="62" max="93" width="8.83203125" customWidth="1"/>
    <col min="97" max="97" width="19.5" customWidth="1"/>
  </cols>
  <sheetData>
    <row r="1" spans="1:102" s="222" customFormat="1" x14ac:dyDescent="0.2">
      <c r="A1" s="222" t="s">
        <v>0</v>
      </c>
      <c r="B1" s="222" t="s">
        <v>1</v>
      </c>
      <c r="C1" s="222" t="s">
        <v>2</v>
      </c>
      <c r="D1" s="222" t="s">
        <v>3</v>
      </c>
      <c r="E1" s="222" t="s">
        <v>4</v>
      </c>
      <c r="F1" s="222" t="s">
        <v>5</v>
      </c>
      <c r="G1" s="222" t="s">
        <v>6</v>
      </c>
      <c r="H1" s="222" t="s">
        <v>7</v>
      </c>
      <c r="I1" s="222" t="s">
        <v>8</v>
      </c>
      <c r="J1" s="222" t="s">
        <v>9</v>
      </c>
      <c r="K1" s="222" t="s">
        <v>10</v>
      </c>
      <c r="L1" s="222" t="s">
        <v>11</v>
      </c>
      <c r="M1" s="222" t="s">
        <v>12</v>
      </c>
      <c r="N1" s="222" t="s">
        <v>13</v>
      </c>
      <c r="O1" s="222" t="s">
        <v>14</v>
      </c>
      <c r="P1" s="222" t="s">
        <v>15</v>
      </c>
      <c r="Q1" s="222" t="s">
        <v>16</v>
      </c>
      <c r="R1" s="222" t="s">
        <v>17</v>
      </c>
      <c r="S1" s="222" t="s">
        <v>18</v>
      </c>
      <c r="T1" s="222" t="s">
        <v>19</v>
      </c>
      <c r="U1" s="222" t="s">
        <v>20</v>
      </c>
      <c r="V1" s="222" t="s">
        <v>21</v>
      </c>
      <c r="W1" s="222" t="s">
        <v>22</v>
      </c>
      <c r="X1" s="222" t="s">
        <v>23</v>
      </c>
      <c r="Y1" s="222" t="s">
        <v>24</v>
      </c>
      <c r="Z1" s="222" t="s">
        <v>25</v>
      </c>
      <c r="AA1" s="222" t="s">
        <v>26</v>
      </c>
      <c r="AB1" s="222" t="s">
        <v>27</v>
      </c>
      <c r="AC1" s="222" t="s">
        <v>28</v>
      </c>
      <c r="AD1" s="222" t="s">
        <v>29</v>
      </c>
      <c r="AE1" s="222" t="s">
        <v>30</v>
      </c>
      <c r="AF1" s="222" t="s">
        <v>31</v>
      </c>
      <c r="AG1" s="222" t="s">
        <v>32</v>
      </c>
      <c r="AH1" s="222" t="s">
        <v>33</v>
      </c>
      <c r="AI1" s="222" t="s">
        <v>34</v>
      </c>
      <c r="AJ1" s="222" t="s">
        <v>35</v>
      </c>
      <c r="AK1" s="222" t="s">
        <v>36</v>
      </c>
      <c r="AL1" s="222" t="s">
        <v>37</v>
      </c>
      <c r="AM1" s="222" t="s">
        <v>38</v>
      </c>
      <c r="AN1" s="222" t="s">
        <v>39</v>
      </c>
      <c r="AO1" s="222" t="s">
        <v>40</v>
      </c>
      <c r="AP1" s="222" t="s">
        <v>41</v>
      </c>
      <c r="AQ1" s="222" t="s">
        <v>42</v>
      </c>
      <c r="AR1" s="222" t="s">
        <v>43</v>
      </c>
      <c r="AS1" s="222" t="s">
        <v>44</v>
      </c>
      <c r="AT1" s="222" t="s">
        <v>45</v>
      </c>
      <c r="AU1" s="222" t="s">
        <v>46</v>
      </c>
      <c r="AV1" s="222" t="s">
        <v>47</v>
      </c>
      <c r="AW1" s="222" t="s">
        <v>48</v>
      </c>
      <c r="AX1" s="222" t="s">
        <v>49</v>
      </c>
      <c r="AY1" s="222" t="s">
        <v>50</v>
      </c>
      <c r="AZ1" s="222" t="s">
        <v>51</v>
      </c>
      <c r="BA1" s="222" t="s">
        <v>52</v>
      </c>
      <c r="BB1" s="222" t="s">
        <v>53</v>
      </c>
      <c r="BC1" s="222" t="s">
        <v>54</v>
      </c>
      <c r="BD1" s="222" t="s">
        <v>55</v>
      </c>
      <c r="BE1" s="222" t="s">
        <v>56</v>
      </c>
      <c r="BF1" s="222" t="s">
        <v>57</v>
      </c>
      <c r="BG1" s="222" t="s">
        <v>58</v>
      </c>
      <c r="BH1" s="222" t="s">
        <v>59</v>
      </c>
      <c r="BI1" s="222" t="s">
        <v>60</v>
      </c>
      <c r="BJ1" s="222" t="s">
        <v>61</v>
      </c>
      <c r="BK1" s="222" t="s">
        <v>62</v>
      </c>
      <c r="BL1" s="222" t="s">
        <v>63</v>
      </c>
      <c r="BM1" s="222" t="s">
        <v>64</v>
      </c>
      <c r="BN1" s="222" t="s">
        <v>65</v>
      </c>
      <c r="BO1" s="222" t="s">
        <v>66</v>
      </c>
      <c r="BP1" s="222" t="s">
        <v>67</v>
      </c>
      <c r="BQ1" s="222" t="s">
        <v>68</v>
      </c>
      <c r="BR1" s="222" t="s">
        <v>69</v>
      </c>
      <c r="BS1" s="222" t="s">
        <v>70</v>
      </c>
      <c r="BT1" s="222" t="s">
        <v>71</v>
      </c>
      <c r="BU1" s="222" t="s">
        <v>72</v>
      </c>
      <c r="BV1" s="222" t="s">
        <v>73</v>
      </c>
      <c r="BW1" s="222" t="s">
        <v>74</v>
      </c>
      <c r="BX1" s="222" t="s">
        <v>75</v>
      </c>
      <c r="BY1" s="222" t="s">
        <v>76</v>
      </c>
      <c r="BZ1" s="222" t="s">
        <v>77</v>
      </c>
      <c r="CA1" s="222" t="s">
        <v>78</v>
      </c>
      <c r="CB1" s="222" t="s">
        <v>79</v>
      </c>
      <c r="CC1" s="222" t="s">
        <v>80</v>
      </c>
      <c r="CD1" s="222" t="s">
        <v>81</v>
      </c>
      <c r="CE1" s="222" t="s">
        <v>82</v>
      </c>
      <c r="CF1" s="222" t="s">
        <v>83</v>
      </c>
      <c r="CG1" s="222" t="s">
        <v>84</v>
      </c>
      <c r="CH1" s="222" t="s">
        <v>85</v>
      </c>
      <c r="CI1" s="222" t="s">
        <v>86</v>
      </c>
      <c r="CJ1" s="222" t="s">
        <v>87</v>
      </c>
      <c r="CK1" s="222" t="s">
        <v>88</v>
      </c>
      <c r="CL1" s="222" t="s">
        <v>89</v>
      </c>
      <c r="CM1" s="222" t="s">
        <v>90</v>
      </c>
      <c r="CN1" s="222" t="s">
        <v>91</v>
      </c>
      <c r="CO1" s="222" t="s">
        <v>92</v>
      </c>
      <c r="CP1" s="222" t="s">
        <v>93</v>
      </c>
      <c r="CQ1" s="222" t="s">
        <v>94</v>
      </c>
      <c r="CR1" s="222" t="s">
        <v>95</v>
      </c>
      <c r="CS1" s="222" t="s">
        <v>96</v>
      </c>
      <c r="CT1" s="222" t="s">
        <v>97</v>
      </c>
      <c r="CU1" s="222" t="s">
        <v>98</v>
      </c>
      <c r="CV1" s="222" t="s">
        <v>99</v>
      </c>
      <c r="CW1" s="222" t="s">
        <v>100</v>
      </c>
      <c r="CX1" s="222" t="s">
        <v>101</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7CAE6-3AAC-4823-A6DB-7468D09562F4}">
  <sheetPr codeName="Sheet2"/>
  <dimension ref="A1:R166"/>
  <sheetViews>
    <sheetView zoomScaleNormal="100" workbookViewId="0">
      <selection activeCell="A7" sqref="A7"/>
    </sheetView>
  </sheetViews>
  <sheetFormatPr baseColWidth="10" defaultColWidth="8.83203125" defaultRowHeight="15" x14ac:dyDescent="0.2"/>
  <cols>
    <col min="1" max="1" width="23" bestFit="1" customWidth="1"/>
    <col min="2" max="2" width="24.5" customWidth="1"/>
    <col min="3" max="3" width="28.83203125" customWidth="1"/>
    <col min="4" max="4" width="17.1640625" customWidth="1"/>
    <col min="5" max="5" width="23.83203125" customWidth="1"/>
    <col min="6" max="6" width="20.5" customWidth="1"/>
    <col min="7" max="7" width="23.83203125" bestFit="1" customWidth="1"/>
    <col min="8" max="8" width="16.5" bestFit="1" customWidth="1"/>
    <col min="9" max="9" width="29.1640625" customWidth="1"/>
    <col min="10" max="11" width="6.5" bestFit="1" customWidth="1"/>
    <col min="12" max="12" width="32.5" customWidth="1"/>
    <col min="13" max="13" width="12.1640625" bestFit="1" customWidth="1"/>
    <col min="14" max="15" width="16.5" bestFit="1" customWidth="1"/>
    <col min="16" max="16" width="16.5" customWidth="1"/>
    <col min="17" max="17" width="12.5" bestFit="1" customWidth="1"/>
  </cols>
  <sheetData>
    <row r="1" spans="1:13" ht="16" x14ac:dyDescent="0.2">
      <c r="A1" s="8" t="s">
        <v>344</v>
      </c>
      <c r="B1" s="7">
        <f>COUNTA('Raw data'!A2:A1048576)</f>
        <v>0</v>
      </c>
      <c r="C1" s="23"/>
      <c r="D1" s="1"/>
      <c r="F1" s="1" t="s">
        <v>343</v>
      </c>
      <c r="G1" s="1"/>
      <c r="I1" s="325" t="s">
        <v>102</v>
      </c>
      <c r="J1" s="326"/>
      <c r="L1" s="325" t="s">
        <v>103</v>
      </c>
      <c r="M1" s="326"/>
    </row>
    <row r="2" spans="1:13" x14ac:dyDescent="0.2">
      <c r="A2" s="320" t="s">
        <v>104</v>
      </c>
      <c r="B2" s="324">
        <f>COUNTIF('Raw data'!K:K, 1)</f>
        <v>0</v>
      </c>
      <c r="C2" s="39" t="s">
        <v>345</v>
      </c>
      <c r="D2" s="319">
        <f>COUNTIF('Raw data'!K:K, 2)</f>
        <v>0</v>
      </c>
      <c r="F2" s="1"/>
      <c r="G2" s="1"/>
      <c r="I2" s="1"/>
      <c r="J2" s="1"/>
      <c r="L2" s="1"/>
      <c r="M2" s="1"/>
    </row>
    <row r="3" spans="1:13" ht="16" x14ac:dyDescent="0.2">
      <c r="A3" s="321" t="s">
        <v>105</v>
      </c>
      <c r="B3" s="1">
        <f>COUNTIF('Raw data'!L:L, 1)</f>
        <v>0</v>
      </c>
      <c r="C3" s="40" t="s">
        <v>106</v>
      </c>
      <c r="D3" s="1">
        <f>COUNTIF('Raw data'!M:M, 1)</f>
        <v>0</v>
      </c>
      <c r="F3" s="1" t="s">
        <v>107</v>
      </c>
      <c r="G3" s="1">
        <f>COUNTIF('Raw data'!H:H, 1)</f>
        <v>0</v>
      </c>
      <c r="I3" s="1" t="s">
        <v>107</v>
      </c>
      <c r="J3" s="1">
        <f>COUNTIFS('Raw data'!H:H,"1",'Raw data'!K:K,1)</f>
        <v>0</v>
      </c>
      <c r="L3" s="1" t="s">
        <v>107</v>
      </c>
      <c r="M3" s="1">
        <f>COUNTIFS('Raw data'!H:H,"1",'Raw data'!K:K,2)</f>
        <v>0</v>
      </c>
    </row>
    <row r="4" spans="1:13" ht="16" x14ac:dyDescent="0.2">
      <c r="A4" s="321" t="s">
        <v>108</v>
      </c>
      <c r="B4" s="1">
        <f>COUNTIF('Raw data'!L:L, 2)</f>
        <v>0</v>
      </c>
      <c r="C4" s="40" t="s">
        <v>109</v>
      </c>
      <c r="D4" s="1">
        <f>COUNTIF('Raw data'!M:M, 2)</f>
        <v>0</v>
      </c>
      <c r="F4" s="1" t="s">
        <v>110</v>
      </c>
      <c r="G4" s="1">
        <f>COUNTIF('Raw data'!H:H, 2)</f>
        <v>0</v>
      </c>
      <c r="I4" s="1" t="s">
        <v>110</v>
      </c>
      <c r="J4" s="1">
        <f>COUNTIFS('Raw data'!K:K,"1",'Raw data'!H:H,2)</f>
        <v>0</v>
      </c>
      <c r="L4" s="1" t="s">
        <v>110</v>
      </c>
      <c r="M4" s="1">
        <f>COUNTIFS('Raw data'!H:H,"2",'Raw data'!K:K,2)</f>
        <v>0</v>
      </c>
    </row>
    <row r="5" spans="1:13" ht="16" x14ac:dyDescent="0.2">
      <c r="A5" s="321" t="s">
        <v>111</v>
      </c>
      <c r="B5" s="1">
        <f>COUNTIF('Raw data'!L:L, 3)</f>
        <v>0</v>
      </c>
      <c r="C5" s="40" t="s">
        <v>112</v>
      </c>
      <c r="D5" s="1">
        <f>COUNTIF('Raw data'!M:M, 3)</f>
        <v>0</v>
      </c>
      <c r="F5" s="1" t="s">
        <v>113</v>
      </c>
      <c r="G5" s="1">
        <f>COUNTIF('Raw data'!H:H, 3)</f>
        <v>0</v>
      </c>
      <c r="I5" s="1" t="s">
        <v>113</v>
      </c>
      <c r="J5" s="1">
        <f>COUNTIFS('Raw data'!K:K,"1",'Raw data'!H:H,3)</f>
        <v>0</v>
      </c>
      <c r="L5" s="1" t="s">
        <v>113</v>
      </c>
      <c r="M5" s="1">
        <f>COUNTIFS('Raw data'!H:H,"3",'Raw data'!K:K,2)</f>
        <v>0</v>
      </c>
    </row>
    <row r="6" spans="1:13" ht="32" x14ac:dyDescent="0.2">
      <c r="A6" s="321" t="s">
        <v>114</v>
      </c>
      <c r="B6" s="1">
        <f>COUNTIF('Raw data'!L:L, 4)</f>
        <v>0</v>
      </c>
      <c r="C6" s="40" t="s">
        <v>115</v>
      </c>
      <c r="D6" s="1">
        <f>COUNTIF('Raw data'!M:M, 4)</f>
        <v>0</v>
      </c>
    </row>
    <row r="7" spans="1:13" ht="16" x14ac:dyDescent="0.2">
      <c r="C7" s="40" t="s">
        <v>116</v>
      </c>
      <c r="D7" s="1">
        <f>COUNTIF('Raw data'!M:M, 5)</f>
        <v>0</v>
      </c>
    </row>
    <row r="10" spans="1:13" x14ac:dyDescent="0.2">
      <c r="B10" s="237" t="s">
        <v>117</v>
      </c>
      <c r="C10" s="237" t="s">
        <v>342</v>
      </c>
      <c r="E10" s="237" t="s">
        <v>117</v>
      </c>
      <c r="F10" s="237" t="s">
        <v>118</v>
      </c>
      <c r="G10" s="237" t="s">
        <v>117</v>
      </c>
      <c r="H10" s="237" t="s">
        <v>119</v>
      </c>
    </row>
    <row r="11" spans="1:13" x14ac:dyDescent="0.2">
      <c r="B11" s="1"/>
      <c r="C11" s="1"/>
      <c r="E11" s="1"/>
      <c r="F11" s="1"/>
      <c r="G11" s="1"/>
      <c r="H11" s="1"/>
    </row>
    <row r="12" spans="1:13" x14ac:dyDescent="0.2">
      <c r="A12">
        <v>1</v>
      </c>
      <c r="B12" s="1" t="s">
        <v>120</v>
      </c>
      <c r="C12" s="1">
        <f>COUNTIF('Raw data'!I:I, 1)</f>
        <v>0</v>
      </c>
      <c r="E12" s="1" t="s">
        <v>120</v>
      </c>
      <c r="F12" s="1">
        <f>COUNTIFS('Raw data'!I:I,"1",'Raw data'!K:K,1)</f>
        <v>0</v>
      </c>
      <c r="G12" s="1" t="s">
        <v>120</v>
      </c>
      <c r="H12" s="1">
        <f>COUNTIFS('Raw data'!I:I,"1",'Raw data'!K:K,2)</f>
        <v>0</v>
      </c>
    </row>
    <row r="13" spans="1:13" x14ac:dyDescent="0.2">
      <c r="A13">
        <v>2</v>
      </c>
      <c r="B13" s="1" t="s">
        <v>121</v>
      </c>
      <c r="C13" s="1">
        <f>COUNTIF('Raw data'!I:I, 2)</f>
        <v>0</v>
      </c>
      <c r="E13" s="1" t="s">
        <v>121</v>
      </c>
      <c r="F13" s="1">
        <f>COUNTIFS('Raw data'!I:I,"2",'Raw data'!K:K,1)</f>
        <v>0</v>
      </c>
      <c r="G13" s="1" t="s">
        <v>121</v>
      </c>
      <c r="H13" s="1">
        <f>COUNTIFS('Raw data'!I:I,"2",'Raw data'!K:K,2)</f>
        <v>0</v>
      </c>
    </row>
    <row r="14" spans="1:13" x14ac:dyDescent="0.2">
      <c r="A14">
        <v>3</v>
      </c>
      <c r="B14" s="1" t="s">
        <v>122</v>
      </c>
      <c r="C14" s="1">
        <f>COUNTIF('Raw data'!I:I, 3)</f>
        <v>0</v>
      </c>
      <c r="E14" s="1" t="s">
        <v>122</v>
      </c>
      <c r="F14" s="1">
        <f>COUNTIFS('Raw data'!I:I,"3",'Raw data'!K:K,1)</f>
        <v>0</v>
      </c>
      <c r="G14" s="1" t="s">
        <v>122</v>
      </c>
      <c r="H14" s="1">
        <f>COUNTIFS('Raw data'!I:I,"3",'Raw data'!K:K,2)</f>
        <v>0</v>
      </c>
    </row>
    <row r="15" spans="1:13" x14ac:dyDescent="0.2">
      <c r="A15">
        <v>4</v>
      </c>
      <c r="B15" s="1" t="s">
        <v>123</v>
      </c>
      <c r="C15" s="1">
        <f>COUNTIF('Raw data'!I:I, 4)</f>
        <v>0</v>
      </c>
      <c r="E15" s="1" t="s">
        <v>123</v>
      </c>
      <c r="F15" s="1">
        <f>COUNTIFS('Raw data'!I:I,"4",'Raw data'!K:K,1)</f>
        <v>0</v>
      </c>
      <c r="G15" s="1" t="s">
        <v>123</v>
      </c>
      <c r="H15" s="1">
        <f>COUNTIFS('Raw data'!I:I,"4",'Raw data'!K:K,2)</f>
        <v>0</v>
      </c>
    </row>
    <row r="16" spans="1:13" x14ac:dyDescent="0.2">
      <c r="A16">
        <v>5</v>
      </c>
      <c r="B16" s="1" t="s">
        <v>124</v>
      </c>
      <c r="C16" s="1">
        <f>COUNTIF('Raw data'!I:I, 5)</f>
        <v>0</v>
      </c>
      <c r="E16" s="1" t="s">
        <v>124</v>
      </c>
      <c r="F16" s="1">
        <f>COUNTIFS('Raw data'!I:I,"5",'Raw data'!K:K,1)</f>
        <v>0</v>
      </c>
      <c r="G16" s="1" t="s">
        <v>124</v>
      </c>
      <c r="H16" s="1">
        <f>COUNTIFS('Raw data'!I:I,"5",'Raw data'!K:K,2)</f>
        <v>0</v>
      </c>
    </row>
    <row r="17" spans="1:18" x14ac:dyDescent="0.2">
      <c r="A17">
        <v>6</v>
      </c>
      <c r="B17" s="1" t="s">
        <v>125</v>
      </c>
      <c r="C17" s="1">
        <f>COUNTIF('Raw data'!I:I, 6)</f>
        <v>0</v>
      </c>
      <c r="E17" s="1" t="s">
        <v>125</v>
      </c>
      <c r="F17" s="1">
        <f>COUNTIFS('Raw data'!I:I,"6",'Raw data'!K:K,1)</f>
        <v>0</v>
      </c>
      <c r="G17" s="1" t="s">
        <v>125</v>
      </c>
      <c r="H17" s="1">
        <f>COUNTIFS('Raw data'!I:I,"6",'Raw data'!K:K,2)</f>
        <v>0</v>
      </c>
    </row>
    <row r="18" spans="1:18" x14ac:dyDescent="0.2">
      <c r="A18">
        <v>7</v>
      </c>
      <c r="B18" s="1" t="s">
        <v>126</v>
      </c>
      <c r="C18" s="1">
        <f>COUNTIF('Raw data'!I:I, 7)</f>
        <v>0</v>
      </c>
      <c r="E18" s="1" t="s">
        <v>126</v>
      </c>
      <c r="F18" s="1">
        <f>COUNTIFS('Raw data'!I:I,"7",'Raw data'!K:K,1)</f>
        <v>0</v>
      </c>
      <c r="G18" s="1" t="s">
        <v>126</v>
      </c>
      <c r="H18" s="1">
        <f>COUNTIFS('Raw data'!I:I,"7",'Raw data'!K:K,2)</f>
        <v>0</v>
      </c>
    </row>
    <row r="19" spans="1:18" x14ac:dyDescent="0.2">
      <c r="A19">
        <v>8</v>
      </c>
      <c r="B19" s="1" t="s">
        <v>127</v>
      </c>
      <c r="C19" s="1">
        <f>COUNTIF('Raw data'!I:I, 8)</f>
        <v>0</v>
      </c>
      <c r="E19" s="1" t="s">
        <v>127</v>
      </c>
      <c r="F19" s="1">
        <f>COUNTIFS('Raw data'!I:I,"8",'Raw data'!K:K,1)</f>
        <v>0</v>
      </c>
      <c r="G19" s="1" t="s">
        <v>127</v>
      </c>
      <c r="H19" s="1">
        <f>COUNTIFS('Raw data'!I:I,"8",'Raw data'!K:K,2)</f>
        <v>0</v>
      </c>
    </row>
    <row r="20" spans="1:18" x14ac:dyDescent="0.2">
      <c r="A20">
        <v>9</v>
      </c>
      <c r="B20" s="1" t="s">
        <v>128</v>
      </c>
      <c r="C20" s="1">
        <f>COUNTIF('Raw data'!I:I,9)</f>
        <v>0</v>
      </c>
      <c r="E20" s="1" t="s">
        <v>128</v>
      </c>
      <c r="F20" s="1">
        <f>COUNTIFS('Raw data'!I:I,"9",'Raw data'!K:K,1)</f>
        <v>0</v>
      </c>
      <c r="G20" s="1" t="s">
        <v>128</v>
      </c>
      <c r="H20" s="1">
        <f>COUNTIFS('Raw data'!I:I,"9",'Raw data'!K:K,2)</f>
        <v>0</v>
      </c>
    </row>
    <row r="21" spans="1:18" x14ac:dyDescent="0.2">
      <c r="A21">
        <v>10</v>
      </c>
      <c r="B21" s="1" t="s">
        <v>116</v>
      </c>
      <c r="C21" s="1">
        <f>COUNTIF('Raw data'!I:I,10)</f>
        <v>0</v>
      </c>
      <c r="E21" s="1" t="s">
        <v>116</v>
      </c>
      <c r="F21" s="1">
        <f>COUNTIFS('Raw data'!I:I,"10",'Raw data'!K:K,1)</f>
        <v>0</v>
      </c>
      <c r="G21" s="1" t="s">
        <v>116</v>
      </c>
      <c r="H21" s="1">
        <f>COUNTIFS('Raw data'!I:I,"10",'Raw data'!K:K,2)</f>
        <v>0</v>
      </c>
    </row>
    <row r="22" spans="1:18" ht="16" thickBot="1" x14ac:dyDescent="0.25"/>
    <row r="23" spans="1:18" ht="16" thickBot="1" x14ac:dyDescent="0.25">
      <c r="B23" s="327"/>
      <c r="C23" s="327"/>
      <c r="D23" s="327"/>
      <c r="G23" s="328" t="s">
        <v>129</v>
      </c>
      <c r="H23" s="329"/>
      <c r="I23" s="329"/>
      <c r="J23" s="329"/>
      <c r="K23" s="330"/>
      <c r="L23" s="328" t="s">
        <v>119</v>
      </c>
      <c r="M23" s="329"/>
      <c r="N23" s="329"/>
      <c r="O23" s="329"/>
      <c r="P23" s="330"/>
      <c r="Q23" s="182"/>
      <c r="R23" s="182"/>
    </row>
    <row r="24" spans="1:18" ht="16" thickBot="1" x14ac:dyDescent="0.25">
      <c r="A24" s="206" t="s">
        <v>130</v>
      </c>
      <c r="B24" s="206" t="s">
        <v>131</v>
      </c>
      <c r="C24" s="207" t="s">
        <v>132</v>
      </c>
      <c r="D24" s="207" t="s">
        <v>133</v>
      </c>
      <c r="E24" s="207" t="s">
        <v>134</v>
      </c>
      <c r="F24" s="208" t="s">
        <v>135</v>
      </c>
      <c r="G24" s="207" t="s">
        <v>131</v>
      </c>
      <c r="H24" s="207" t="s">
        <v>132</v>
      </c>
      <c r="I24" s="207" t="s">
        <v>133</v>
      </c>
      <c r="J24" s="207" t="s">
        <v>134</v>
      </c>
      <c r="K24" s="208" t="s">
        <v>135</v>
      </c>
      <c r="L24" s="198" t="s">
        <v>131</v>
      </c>
      <c r="M24" s="198" t="s">
        <v>132</v>
      </c>
      <c r="N24" s="198" t="s">
        <v>133</v>
      </c>
      <c r="O24" s="198" t="s">
        <v>134</v>
      </c>
      <c r="P24" s="199" t="s">
        <v>135</v>
      </c>
      <c r="Q24" s="197"/>
    </row>
    <row r="25" spans="1:18" ht="48" x14ac:dyDescent="0.2">
      <c r="A25" s="242" t="s">
        <v>136</v>
      </c>
      <c r="B25" s="203"/>
      <c r="C25" s="204"/>
      <c r="D25" s="204"/>
      <c r="E25" s="204">
        <f>COUNTIF('Raw data'!O:O, 1)</f>
        <v>0</v>
      </c>
      <c r="F25" s="205">
        <f>COUNTIF('Raw data'!O:O, 0)</f>
        <v>0</v>
      </c>
      <c r="G25" s="203"/>
      <c r="H25" s="204"/>
      <c r="I25" s="204"/>
      <c r="J25" s="204">
        <f>COUNTIFS('Raw data'!K:K,"1",'Raw data'!O:O,1)</f>
        <v>0</v>
      </c>
      <c r="K25" s="42">
        <f>COUNTIFS('Raw data'!K:K,"1",'Raw data'!O:O,0)</f>
        <v>0</v>
      </c>
      <c r="L25" s="210"/>
      <c r="M25" s="211"/>
      <c r="N25" s="211"/>
      <c r="O25" s="211">
        <f>COUNTIFS('Raw data'!K:K,"2",'Raw data'!O:O,1)</f>
        <v>0</v>
      </c>
      <c r="P25" s="212">
        <f>COUNTIFS('Raw data'!K:K,"2",'Raw data'!O:O,0)</f>
        <v>0</v>
      </c>
    </row>
    <row r="26" spans="1:18" ht="32" x14ac:dyDescent="0.2">
      <c r="A26" s="243" t="s">
        <v>137</v>
      </c>
      <c r="B26" s="10"/>
      <c r="C26" s="41"/>
      <c r="D26" s="41"/>
      <c r="E26" s="41">
        <f>COUNTIF('Raw data'!X:X, 1)</f>
        <v>0</v>
      </c>
      <c r="F26" s="200">
        <f>COUNTIF('Raw data'!X:X, 0)</f>
        <v>0</v>
      </c>
      <c r="G26" s="10"/>
      <c r="H26" s="41"/>
      <c r="I26" s="41"/>
      <c r="J26" s="41">
        <f>COUNTIFS('Raw data'!K:K,"1",'Raw data'!X:X,1)</f>
        <v>0</v>
      </c>
      <c r="K26" s="196">
        <f>COUNTIFS('Raw data'!K:K,"1",'Raw data'!X:X,0)</f>
        <v>0</v>
      </c>
      <c r="L26" s="213"/>
      <c r="M26" s="1"/>
      <c r="N26" s="1"/>
      <c r="O26" s="1">
        <f>COUNTIFS('Raw data'!K:K,"2",'Raw data'!X:X,1)</f>
        <v>0</v>
      </c>
      <c r="P26" s="214">
        <f>COUNTIFS('Raw data'!K:K,"2",'Raw data'!X:X,0)</f>
        <v>0</v>
      </c>
    </row>
    <row r="27" spans="1:18" ht="64" x14ac:dyDescent="0.2">
      <c r="A27" s="243" t="s">
        <v>138</v>
      </c>
      <c r="B27" s="10"/>
      <c r="C27" s="41"/>
      <c r="D27" s="41"/>
      <c r="E27" s="41">
        <f>COUNTIF('Raw data'!Y:Y, 1)</f>
        <v>0</v>
      </c>
      <c r="F27" s="200">
        <f>COUNTIF('Raw data'!Y:Y, 0)</f>
        <v>0</v>
      </c>
      <c r="G27" s="10"/>
      <c r="H27" s="41"/>
      <c r="I27" s="41"/>
      <c r="J27" s="41">
        <f>COUNTIF('Raw data'!Y:Y, 1)</f>
        <v>0</v>
      </c>
      <c r="K27" s="196">
        <f>COUNTIF('Raw data'!Y:Y, 0)</f>
        <v>0</v>
      </c>
      <c r="L27" s="213"/>
      <c r="M27" s="1"/>
      <c r="N27" s="1"/>
      <c r="O27" s="1"/>
      <c r="P27" s="214"/>
    </row>
    <row r="28" spans="1:18" ht="64" x14ac:dyDescent="0.2">
      <c r="A28" s="243" t="s">
        <v>139</v>
      </c>
      <c r="B28" s="10"/>
      <c r="C28" s="41"/>
      <c r="D28" s="41">
        <f>COUNTIF('Raw data'!Z:Z, 3)</f>
        <v>0</v>
      </c>
      <c r="E28" s="41">
        <f>COUNTIF('Raw data'!Z:Z, 1)</f>
        <v>0</v>
      </c>
      <c r="F28" s="200">
        <f>COUNTIF('Raw data'!Z:Z, 2)</f>
        <v>0</v>
      </c>
      <c r="G28" s="10"/>
      <c r="H28" s="41"/>
      <c r="I28" s="41"/>
      <c r="J28" s="41"/>
      <c r="K28" s="196"/>
      <c r="L28" s="213"/>
      <c r="M28" s="1"/>
      <c r="N28" s="1">
        <f>COUNTIF('Raw data'!Z:Z, 3)</f>
        <v>0</v>
      </c>
      <c r="O28" s="1">
        <f>COUNTIF('Raw data'!Z:Z, 1)</f>
        <v>0</v>
      </c>
      <c r="P28" s="214">
        <f>COUNTIF('Raw data'!Z:Z, 2)</f>
        <v>0</v>
      </c>
    </row>
    <row r="29" spans="1:18" ht="112" x14ac:dyDescent="0.2">
      <c r="A29" s="243" t="s">
        <v>140</v>
      </c>
      <c r="B29" s="10"/>
      <c r="C29" s="41"/>
      <c r="D29" s="41"/>
      <c r="E29" s="41">
        <f>COUNTIF('Raw data'!AA:AA, 1)</f>
        <v>0</v>
      </c>
      <c r="F29" s="200">
        <f>COUNTIF('Raw data'!AA:AA, 0)</f>
        <v>0</v>
      </c>
      <c r="G29" s="10"/>
      <c r="H29" s="41"/>
      <c r="I29" s="41"/>
      <c r="J29" s="41">
        <f>COUNTIF('Raw data'!AA:AA, 1)</f>
        <v>0</v>
      </c>
      <c r="K29" s="196">
        <f>COUNTIF('Raw data'!AA:AA, 0)</f>
        <v>0</v>
      </c>
      <c r="L29" s="213"/>
      <c r="M29" s="1"/>
      <c r="N29" s="1"/>
      <c r="O29" s="1"/>
      <c r="P29" s="214"/>
    </row>
    <row r="30" spans="1:18" ht="96" x14ac:dyDescent="0.2">
      <c r="A30" s="243" t="s">
        <v>141</v>
      </c>
      <c r="B30" s="10"/>
      <c r="C30" s="41"/>
      <c r="D30" s="41"/>
      <c r="E30" s="41">
        <f>COUNTIF('Raw data'!AB:AB, 1)</f>
        <v>0</v>
      </c>
      <c r="F30" s="200">
        <f>COUNTIF('Raw data'!AB:AB, 0)</f>
        <v>0</v>
      </c>
      <c r="G30" s="10"/>
      <c r="H30" s="41"/>
      <c r="I30" s="41"/>
      <c r="J30" s="41"/>
      <c r="K30" s="196"/>
      <c r="L30" s="213"/>
      <c r="M30" s="1"/>
      <c r="N30" s="1"/>
      <c r="O30" s="1">
        <f>COUNTIF('Raw data'!AB:AB, 1)</f>
        <v>0</v>
      </c>
      <c r="P30" s="214">
        <f>COUNTIF('Raw data'!AB:AB, 0)</f>
        <v>0</v>
      </c>
    </row>
    <row r="31" spans="1:18" ht="64" x14ac:dyDescent="0.2">
      <c r="A31" s="243" t="s">
        <v>142</v>
      </c>
      <c r="B31" s="10"/>
      <c r="C31" s="41"/>
      <c r="D31" s="41"/>
      <c r="E31" s="41">
        <f>COUNTIF('Raw data'!AE:AE, 1)</f>
        <v>0</v>
      </c>
      <c r="F31" s="200">
        <f>COUNTIF('Raw data'!AE:AE, 0)</f>
        <v>0</v>
      </c>
      <c r="G31" s="10"/>
      <c r="H31" s="41"/>
      <c r="I31" s="41"/>
      <c r="J31" s="41">
        <f>COUNTIF('Raw data'!AE:AE, 1)</f>
        <v>0</v>
      </c>
      <c r="K31" s="196">
        <f>COUNTIF('Raw data'!AE:AE, 0)</f>
        <v>0</v>
      </c>
      <c r="L31" s="213"/>
      <c r="M31" s="1"/>
      <c r="N31" s="1"/>
      <c r="O31" s="1"/>
      <c r="P31" s="214"/>
    </row>
    <row r="32" spans="1:18" ht="80" x14ac:dyDescent="0.2">
      <c r="A32" s="243" t="s">
        <v>143</v>
      </c>
      <c r="B32" s="10"/>
      <c r="C32" s="41"/>
      <c r="D32" s="41"/>
      <c r="E32" s="41">
        <f>COUNTIF('Raw data'!AF:AF, 1)</f>
        <v>0</v>
      </c>
      <c r="F32" s="200">
        <f>COUNTIF('Raw data'!AF:AF, 0)</f>
        <v>0</v>
      </c>
      <c r="G32" s="10"/>
      <c r="H32" s="41"/>
      <c r="I32" s="41"/>
      <c r="J32" s="41"/>
      <c r="K32" s="196"/>
      <c r="L32" s="213"/>
      <c r="M32" s="1"/>
      <c r="N32" s="1"/>
      <c r="O32" s="1">
        <f>COUNTIF('Raw data'!AF:AF, 1)</f>
        <v>0</v>
      </c>
      <c r="P32" s="214">
        <f>COUNTIF('Raw data'!AF:AF, 0)</f>
        <v>0</v>
      </c>
    </row>
    <row r="33" spans="1:16" ht="48" x14ac:dyDescent="0.2">
      <c r="A33" s="243" t="s">
        <v>144</v>
      </c>
      <c r="B33" s="10"/>
      <c r="C33" s="41"/>
      <c r="D33" s="41"/>
      <c r="E33" s="41">
        <f>COUNTIF('Raw data'!AG:AG, 1)</f>
        <v>0</v>
      </c>
      <c r="F33" s="200">
        <f>COUNTIF('Raw data'!AG:AG, 0)</f>
        <v>0</v>
      </c>
      <c r="G33" s="10"/>
      <c r="H33" s="41"/>
      <c r="I33" s="41"/>
      <c r="J33" s="41">
        <f>COUNTIFS('Raw data'!K:K,"1",'Raw data'!AG:AG,1)</f>
        <v>0</v>
      </c>
      <c r="K33" s="196">
        <f>COUNTIFS('Raw data'!K:K,"1",'Raw data'!AG:AG,0)</f>
        <v>0</v>
      </c>
      <c r="L33" s="213"/>
      <c r="M33" s="1"/>
      <c r="N33" s="1"/>
      <c r="O33" s="1">
        <f>COUNTIFS('Raw data'!K:K,"2",'Raw data'!AG:AG,1)</f>
        <v>0</v>
      </c>
      <c r="P33" s="214">
        <f>COUNTIFS('Raw data'!K:K,"2",'Raw data'!AG:AG,0)</f>
        <v>0</v>
      </c>
    </row>
    <row r="34" spans="1:16" ht="96" x14ac:dyDescent="0.2">
      <c r="A34" s="243" t="s">
        <v>145</v>
      </c>
      <c r="B34" s="10"/>
      <c r="C34" s="41"/>
      <c r="D34" s="41"/>
      <c r="E34" s="41">
        <f>COUNTIF('Raw data'!AK:AK, 1)</f>
        <v>0</v>
      </c>
      <c r="F34" s="200">
        <f>COUNTIF('Raw data'!AK:AK, 0)</f>
        <v>0</v>
      </c>
      <c r="G34" s="10"/>
      <c r="H34" s="41"/>
      <c r="I34" s="41"/>
      <c r="J34" s="41">
        <f>COUNTIFS('Raw data'!K:K,"1",'Raw data'!AK:AK,1)</f>
        <v>0</v>
      </c>
      <c r="K34" s="196">
        <f>COUNTIFS('Raw data'!K:K,"1",'Raw data'!AK:AK,0)</f>
        <v>0</v>
      </c>
      <c r="L34" s="213"/>
      <c r="M34" s="1"/>
      <c r="N34" s="1"/>
      <c r="O34" s="1">
        <f>COUNTIFS('Raw data'!K:K,"2",'Raw data'!AK:AK,1)</f>
        <v>0</v>
      </c>
      <c r="P34" s="214">
        <f>COUNTIFS('Raw data'!K:K,"2",'Raw data'!AK:AK,0)</f>
        <v>0</v>
      </c>
    </row>
    <row r="35" spans="1:16" ht="128" x14ac:dyDescent="0.2">
      <c r="A35" s="243" t="s">
        <v>146</v>
      </c>
      <c r="B35" s="10"/>
      <c r="C35" s="41"/>
      <c r="D35" s="41">
        <f>COUNTIFS('Raw data'!AO:AO,3)</f>
        <v>0</v>
      </c>
      <c r="E35" s="41">
        <f>COUNTIFS('Raw data'!AO:AO,1)</f>
        <v>0</v>
      </c>
      <c r="F35" s="200">
        <f>COUNTIFS('Raw data'!AO:AO,2)</f>
        <v>0</v>
      </c>
      <c r="G35" s="10"/>
      <c r="H35" s="41"/>
      <c r="I35" s="41">
        <f>COUNTIFS('Raw data'!K:K,"1",'Raw data'!AO:AO,3)</f>
        <v>0</v>
      </c>
      <c r="J35" s="41">
        <f>COUNTIFS('Raw data'!K:K,"1",'Raw data'!AO:AO,1)</f>
        <v>0</v>
      </c>
      <c r="K35" s="196">
        <f>COUNTIFS('Raw data'!K:K,"1",'Raw data'!AO:AO,2)</f>
        <v>0</v>
      </c>
      <c r="L35" s="213"/>
      <c r="M35" s="1"/>
      <c r="N35" s="1"/>
      <c r="O35" s="1"/>
      <c r="P35" s="214"/>
    </row>
    <row r="36" spans="1:16" ht="64" x14ac:dyDescent="0.2">
      <c r="A36" s="243" t="s">
        <v>147</v>
      </c>
      <c r="B36" s="10"/>
      <c r="C36" s="41"/>
      <c r="D36" s="41"/>
      <c r="E36" s="41">
        <f>COUNTIF('Raw data'!AW:AW, 1)</f>
        <v>0</v>
      </c>
      <c r="F36" s="200">
        <f>COUNTIF('Raw data'!AW:AW, 0)</f>
        <v>0</v>
      </c>
      <c r="G36" s="10"/>
      <c r="H36" s="41"/>
      <c r="I36" s="41"/>
      <c r="J36" s="41">
        <f>COUNTIFS('Raw data'!AW:AW,1)</f>
        <v>0</v>
      </c>
      <c r="K36" s="196">
        <f>COUNTIFS('Raw data'!AW:AW,0)</f>
        <v>0</v>
      </c>
      <c r="L36" s="213"/>
      <c r="M36" s="1"/>
      <c r="N36" s="1"/>
      <c r="O36" s="1"/>
      <c r="P36" s="214"/>
    </row>
    <row r="37" spans="1:16" ht="64" x14ac:dyDescent="0.2">
      <c r="A37" s="243" t="s">
        <v>148</v>
      </c>
      <c r="B37" s="10"/>
      <c r="C37" s="41"/>
      <c r="D37" s="41"/>
      <c r="E37" s="41">
        <f>COUNTIF('Raw data'!AX:AX, 1)</f>
        <v>0</v>
      </c>
      <c r="F37" s="200">
        <f>COUNTIF('Raw data'!AX:AX, 1)</f>
        <v>0</v>
      </c>
      <c r="G37" s="10"/>
      <c r="H37" s="41"/>
      <c r="I37" s="41"/>
      <c r="J37" s="41"/>
      <c r="K37" s="196"/>
      <c r="L37" s="213"/>
      <c r="M37" s="1"/>
      <c r="N37" s="1"/>
      <c r="O37" s="41">
        <f>COUNTIF('Raw data'!AX:AX, 1)</f>
        <v>0</v>
      </c>
      <c r="P37" s="214">
        <f>COUNTIF('Raw data'!AX:AX, 0)</f>
        <v>0</v>
      </c>
    </row>
    <row r="38" spans="1:16" ht="96" x14ac:dyDescent="0.2">
      <c r="A38" s="243" t="s">
        <v>149</v>
      </c>
      <c r="B38" s="10"/>
      <c r="C38" s="41"/>
      <c r="D38" s="41"/>
      <c r="E38" s="41">
        <f>COUNTIF('Raw data'!AY:AY, 1)</f>
        <v>0</v>
      </c>
      <c r="F38" s="200">
        <f>COUNTIF('Raw data'!AY:AY, 0)</f>
        <v>0</v>
      </c>
      <c r="G38" s="10"/>
      <c r="H38" s="41"/>
      <c r="I38" s="41"/>
      <c r="J38" s="41">
        <f>COUNTIF('Raw data'!AY:AY, 1)</f>
        <v>0</v>
      </c>
      <c r="K38" s="196">
        <f>COUNTIF('Raw data'!AY:AY, 0)</f>
        <v>0</v>
      </c>
      <c r="L38" s="213"/>
      <c r="M38" s="1"/>
      <c r="N38" s="1"/>
      <c r="O38" s="1"/>
      <c r="P38" s="214"/>
    </row>
    <row r="39" spans="1:16" ht="96" x14ac:dyDescent="0.2">
      <c r="A39" s="243" t="s">
        <v>150</v>
      </c>
      <c r="B39" s="10"/>
      <c r="C39" s="41"/>
      <c r="D39" s="41">
        <f>COUNTIF('Raw data'!AZ:AZ, 3)</f>
        <v>0</v>
      </c>
      <c r="E39" s="41">
        <f>COUNTIF('Raw data'!AZ:AZ, 1)</f>
        <v>0</v>
      </c>
      <c r="F39" s="200">
        <f>COUNTIF('Raw data'!AZ:AZ, 2)</f>
        <v>0</v>
      </c>
      <c r="G39" s="10"/>
      <c r="H39" s="41"/>
      <c r="I39" s="41"/>
      <c r="J39" s="41"/>
      <c r="K39" s="196"/>
      <c r="L39" s="213"/>
      <c r="M39" s="1"/>
      <c r="N39" s="41">
        <f>COUNTIF('Raw data'!AZ:AZ, 3)</f>
        <v>0</v>
      </c>
      <c r="O39" s="1">
        <f>COUNTIF('Raw data'!AZ:AZ, 1)</f>
        <v>0</v>
      </c>
      <c r="P39" s="214">
        <f>COUNTIF('Raw data'!AZ:AZ, 2)</f>
        <v>0</v>
      </c>
    </row>
    <row r="40" spans="1:16" ht="80" x14ac:dyDescent="0.2">
      <c r="A40" s="243" t="s">
        <v>151</v>
      </c>
      <c r="B40" s="10"/>
      <c r="C40" s="41"/>
      <c r="D40" s="41"/>
      <c r="E40" s="41">
        <f>COUNTIF('Raw data'!BA:BA, 1)</f>
        <v>0</v>
      </c>
      <c r="F40" s="200">
        <f>COUNTIF('Raw data'!BA:BA, 0)</f>
        <v>0</v>
      </c>
      <c r="G40" s="10"/>
      <c r="H40" s="41"/>
      <c r="I40" s="41"/>
      <c r="J40" s="41">
        <f>COUNTIF('Raw data'!BA:BA, 1)</f>
        <v>0</v>
      </c>
      <c r="K40" s="196">
        <f>COUNTIF('Raw data'!BA:BA, 0)</f>
        <v>0</v>
      </c>
      <c r="L40" s="213"/>
      <c r="M40" s="1"/>
      <c r="N40" s="1"/>
      <c r="O40" s="1"/>
      <c r="P40" s="214"/>
    </row>
    <row r="41" spans="1:16" ht="80" x14ac:dyDescent="0.2">
      <c r="A41" s="243" t="s">
        <v>152</v>
      </c>
      <c r="B41" s="10"/>
      <c r="C41" s="41"/>
      <c r="D41" s="41"/>
      <c r="E41" s="41">
        <f>COUNTIF('Raw data'!BB:BB, 1)</f>
        <v>0</v>
      </c>
      <c r="F41" s="200">
        <f>COUNTIF('Raw data'!BB:BB, 0)</f>
        <v>0</v>
      </c>
      <c r="G41" s="10"/>
      <c r="H41" s="41"/>
      <c r="I41" s="41"/>
      <c r="J41" s="41"/>
      <c r="K41" s="196"/>
      <c r="L41" s="213"/>
      <c r="M41" s="1"/>
      <c r="N41" s="1"/>
      <c r="O41" s="1">
        <f>COUNTIF('Raw data'!BB:BB, 1)</f>
        <v>0</v>
      </c>
      <c r="P41" s="214">
        <f>COUNTIF('Raw data'!BB:BB, 0)</f>
        <v>0</v>
      </c>
    </row>
    <row r="42" spans="1:16" ht="80" x14ac:dyDescent="0.2">
      <c r="A42" s="243" t="s">
        <v>153</v>
      </c>
      <c r="B42" s="10"/>
      <c r="C42" s="41"/>
      <c r="D42" s="41">
        <f>COUNTIF('Raw data'!BC:BC, 2)</f>
        <v>0</v>
      </c>
      <c r="E42" s="41">
        <f>COUNTIF('Raw data'!BC:BC, 1)</f>
        <v>0</v>
      </c>
      <c r="F42" s="200">
        <f>COUNTIF('Raw data'!BC:BC, 0)</f>
        <v>0</v>
      </c>
      <c r="G42" s="10"/>
      <c r="H42" s="41"/>
      <c r="I42" s="41">
        <f>COUNTIFS('Raw data'!K:K,"1",'Raw data'!BC:BC,2)</f>
        <v>0</v>
      </c>
      <c r="J42" s="41">
        <f>COUNTIFS('Raw data'!K:K,"1",'Raw data'!BC:BC,1)</f>
        <v>0</v>
      </c>
      <c r="K42" s="196">
        <f>COUNTIFS('Raw data'!K:K,"1",'Raw data'!BC:BC,0)</f>
        <v>0</v>
      </c>
      <c r="L42" s="213"/>
      <c r="M42" s="1"/>
      <c r="N42" s="1">
        <f>COUNTIFS('Raw data'!K:K,"2",'Raw data'!BC:BC,2)</f>
        <v>0</v>
      </c>
      <c r="O42" s="1">
        <f>COUNTIFS('Raw data'!K:K,"2",'Raw data'!BC:BC,1)</f>
        <v>0</v>
      </c>
      <c r="P42" s="214">
        <f>COUNTIFS('Raw data'!K:K,"2",'Raw data'!BC:BC,0)</f>
        <v>0</v>
      </c>
    </row>
    <row r="43" spans="1:16" ht="48" x14ac:dyDescent="0.2">
      <c r="A43" s="243" t="s">
        <v>154</v>
      </c>
      <c r="B43" s="10"/>
      <c r="C43" s="41"/>
      <c r="D43" s="41"/>
      <c r="E43" s="41">
        <f>COUNTIF('Raw data'!BD:BD, 1)</f>
        <v>0</v>
      </c>
      <c r="F43" s="200">
        <f>COUNTIF('Raw data'!BD:BD, 0)</f>
        <v>0</v>
      </c>
      <c r="G43" s="10"/>
      <c r="H43" s="41"/>
      <c r="I43" s="41"/>
      <c r="J43" s="41">
        <f>COUNTIF('Raw data'!BD:BD, 1)</f>
        <v>0</v>
      </c>
      <c r="K43" s="41">
        <f>COUNTIF('Raw data'!BD:BD, 0)</f>
        <v>0</v>
      </c>
      <c r="L43" s="213"/>
      <c r="M43" s="1"/>
      <c r="N43" s="1"/>
      <c r="O43" s="1"/>
      <c r="P43" s="214"/>
    </row>
    <row r="44" spans="1:16" ht="80" x14ac:dyDescent="0.2">
      <c r="A44" s="243" t="s">
        <v>155</v>
      </c>
      <c r="B44" s="10"/>
      <c r="C44" s="41"/>
      <c r="D44" s="41">
        <f>COUNTIF('Raw data'!BE:BE, 3)</f>
        <v>0</v>
      </c>
      <c r="E44" s="41">
        <f>COUNTIF('Raw data'!BE:BE, 1)</f>
        <v>0</v>
      </c>
      <c r="F44" s="200">
        <f>COUNTIF('Raw data'!BE:BE, 2)</f>
        <v>0</v>
      </c>
      <c r="G44" s="10"/>
      <c r="H44" s="41"/>
      <c r="I44" s="41"/>
      <c r="J44" s="41"/>
      <c r="K44" s="196"/>
      <c r="L44" s="213"/>
      <c r="M44" s="1"/>
      <c r="N44" s="1">
        <f>COUNTIF('Raw data'!BE:BE, 3)</f>
        <v>0</v>
      </c>
      <c r="O44" s="1">
        <f>COUNTIF('Raw data'!BE:BE, 1)</f>
        <v>0</v>
      </c>
      <c r="P44" s="214">
        <f>COUNTIF('Raw data'!BE:BE, 2)</f>
        <v>0</v>
      </c>
    </row>
    <row r="45" spans="1:16" ht="32" x14ac:dyDescent="0.2">
      <c r="A45" s="243" t="s">
        <v>156</v>
      </c>
      <c r="B45" s="10"/>
      <c r="C45" s="41"/>
      <c r="D45" s="41"/>
      <c r="E45" s="41">
        <f>COUNTIF('Raw data'!BF:BF, 1)</f>
        <v>0</v>
      </c>
      <c r="F45" s="200">
        <f>COUNTIF('Raw data'!BF:BF, 0)</f>
        <v>0</v>
      </c>
      <c r="G45" s="10"/>
      <c r="H45" s="41"/>
      <c r="I45" s="41"/>
      <c r="J45" s="41">
        <f>COUNTIF('Raw data'!BF:BF, 1)</f>
        <v>0</v>
      </c>
      <c r="K45" s="196">
        <f>COUNTIF('Raw data'!BF:BF, 0)</f>
        <v>0</v>
      </c>
      <c r="L45" s="213"/>
      <c r="M45" s="1"/>
      <c r="N45" s="1"/>
      <c r="O45" s="1"/>
      <c r="P45" s="214"/>
    </row>
    <row r="46" spans="1:16" ht="48" x14ac:dyDescent="0.2">
      <c r="A46" s="243" t="s">
        <v>157</v>
      </c>
      <c r="B46" s="10"/>
      <c r="C46" s="41"/>
      <c r="D46" s="41">
        <f>COUNTIF('Raw data'!BG:BG, 3)</f>
        <v>0</v>
      </c>
      <c r="E46" s="41">
        <f>COUNTIF('Raw data'!BG:BG, 1)</f>
        <v>0</v>
      </c>
      <c r="F46" s="200">
        <f>COUNTIF('Raw data'!BG:BG, 2)</f>
        <v>0</v>
      </c>
      <c r="G46" s="10"/>
      <c r="H46" s="41"/>
      <c r="I46" s="41"/>
      <c r="J46" s="41"/>
      <c r="K46" s="196"/>
      <c r="L46" s="213"/>
      <c r="M46" s="1"/>
      <c r="N46" s="1">
        <f>COUNTIF('Raw data'!BG:BG, 3)</f>
        <v>0</v>
      </c>
      <c r="O46" s="1">
        <f>COUNTIF('Raw data'!BG:BG, 1)</f>
        <v>0</v>
      </c>
      <c r="P46" s="214">
        <f>COUNTIF('Raw data'!BG:BG, 2)</f>
        <v>0</v>
      </c>
    </row>
    <row r="47" spans="1:16" ht="48" x14ac:dyDescent="0.2">
      <c r="A47" s="243" t="s">
        <v>158</v>
      </c>
      <c r="B47" s="10"/>
      <c r="C47" s="41"/>
      <c r="D47" s="41"/>
      <c r="E47" s="41">
        <f>COUNTIF('Raw data'!BH:BH, 1)</f>
        <v>0</v>
      </c>
      <c r="F47" s="200">
        <f>COUNTIF('Raw data'!BH:BH, 0)</f>
        <v>0</v>
      </c>
      <c r="G47" s="10"/>
      <c r="H47" s="41"/>
      <c r="I47" s="41"/>
      <c r="J47" s="41">
        <f>COUNTIF('Raw data'!BH:BH, 1)</f>
        <v>0</v>
      </c>
      <c r="K47" s="196">
        <f>COUNTIF('Raw data'!BH:BH, 0)</f>
        <v>0</v>
      </c>
      <c r="L47" s="213"/>
      <c r="M47" s="1"/>
      <c r="N47" s="1"/>
      <c r="O47" s="1"/>
      <c r="P47" s="214"/>
    </row>
    <row r="48" spans="1:16" ht="48" x14ac:dyDescent="0.2">
      <c r="A48" s="243" t="s">
        <v>159</v>
      </c>
      <c r="B48" s="10"/>
      <c r="C48" s="41"/>
      <c r="D48" s="41"/>
      <c r="E48" s="41">
        <f>COUNTIF('Raw data'!BJ:BJ, 1)</f>
        <v>0</v>
      </c>
      <c r="F48" s="200">
        <f>COUNTIF('Raw data'!BJ:BJ, 0)</f>
        <v>0</v>
      </c>
      <c r="G48" s="10"/>
      <c r="H48" s="41"/>
      <c r="I48" s="41"/>
      <c r="J48" s="41"/>
      <c r="K48" s="196"/>
      <c r="L48" s="213"/>
      <c r="M48" s="1"/>
      <c r="N48" s="1"/>
      <c r="O48" s="41">
        <f>COUNTIF('Raw data'!BJ:BJ, 1)</f>
        <v>0</v>
      </c>
      <c r="P48" s="214">
        <f>COUNTIF('Raw data'!BJ:BJ, 0)</f>
        <v>0</v>
      </c>
    </row>
    <row r="49" spans="1:16" ht="48" x14ac:dyDescent="0.2">
      <c r="A49" s="243" t="s">
        <v>160</v>
      </c>
      <c r="B49" s="10"/>
      <c r="C49" s="41"/>
      <c r="D49" s="41"/>
      <c r="E49" s="41">
        <f>COUNTIF('Raw data'!BL:BL, 1)</f>
        <v>0</v>
      </c>
      <c r="F49" s="200">
        <f>COUNTIF('Raw data'!BL:BL, 0)</f>
        <v>0</v>
      </c>
      <c r="G49" s="10"/>
      <c r="H49" s="41"/>
      <c r="I49" s="41"/>
      <c r="J49" s="41">
        <f>COUNTIF('Raw data'!BL:BL, 1)</f>
        <v>0</v>
      </c>
      <c r="K49" s="196">
        <f>COUNTIF('Raw data'!BL:BL, 0)</f>
        <v>0</v>
      </c>
      <c r="L49" s="213"/>
      <c r="M49" s="1"/>
      <c r="N49" s="1"/>
      <c r="O49" s="1"/>
      <c r="P49" s="214"/>
    </row>
    <row r="50" spans="1:16" ht="48" x14ac:dyDescent="0.2">
      <c r="A50" s="243" t="s">
        <v>161</v>
      </c>
      <c r="B50" s="10"/>
      <c r="C50" s="41"/>
      <c r="D50" s="41"/>
      <c r="E50" s="41">
        <f>COUNTIF('Raw data'!BM:BM, 1)</f>
        <v>0</v>
      </c>
      <c r="F50" s="200">
        <f>COUNTIF('Raw data'!BM:BM, 0)</f>
        <v>0</v>
      </c>
      <c r="G50" s="10"/>
      <c r="H50" s="41"/>
      <c r="I50" s="41"/>
      <c r="J50" s="41"/>
      <c r="K50" s="196"/>
      <c r="L50" s="213"/>
      <c r="M50" s="1"/>
      <c r="N50" s="1"/>
      <c r="O50" s="41">
        <f>COUNTIF('Raw data'!BM:BM, 1)</f>
        <v>0</v>
      </c>
      <c r="P50" s="214">
        <f>COUNTIF('Raw data'!BM:BM, 0)</f>
        <v>0</v>
      </c>
    </row>
    <row r="51" spans="1:16" ht="112" x14ac:dyDescent="0.2">
      <c r="A51" s="243" t="s">
        <v>162</v>
      </c>
      <c r="B51" s="10"/>
      <c r="C51" s="41"/>
      <c r="D51" s="41">
        <f>COUNTIF('Raw data'!BO:BO, 3)</f>
        <v>0</v>
      </c>
      <c r="E51" s="41">
        <f>COUNTIF('Raw data'!BO:BO, 1)</f>
        <v>0</v>
      </c>
      <c r="F51" s="200">
        <f>COUNTIF('Raw data'!BO:BO, 2)</f>
        <v>0</v>
      </c>
      <c r="G51" s="10"/>
      <c r="H51" s="41"/>
      <c r="I51" s="41">
        <f>COUNTIF('Raw data'!BO:BO, 3)</f>
        <v>0</v>
      </c>
      <c r="J51" s="41">
        <f>COUNTIF('Raw data'!BO:BO, 1)</f>
        <v>0</v>
      </c>
      <c r="K51" s="196">
        <f>COUNTIF('Raw data'!BO:BO, 2)</f>
        <v>0</v>
      </c>
      <c r="L51" s="213"/>
      <c r="M51" s="1"/>
      <c r="N51" s="1"/>
      <c r="O51" s="1"/>
      <c r="P51" s="214"/>
    </row>
    <row r="52" spans="1:16" ht="64" x14ac:dyDescent="0.2">
      <c r="A52" s="243" t="s">
        <v>163</v>
      </c>
      <c r="B52" s="10"/>
      <c r="C52" s="41"/>
      <c r="D52" s="41">
        <f>COUNTIF('Raw data'!BP:BP, 3)</f>
        <v>0</v>
      </c>
      <c r="E52" s="41">
        <f>COUNTIF('Raw data'!BP:BP, 1)</f>
        <v>0</v>
      </c>
      <c r="F52" s="200">
        <f>COUNTIF('Raw data'!BP:BP, 2)</f>
        <v>0</v>
      </c>
      <c r="G52" s="10"/>
      <c r="H52" s="41"/>
      <c r="I52" s="41"/>
      <c r="J52" s="41"/>
      <c r="K52" s="196"/>
      <c r="L52" s="213"/>
      <c r="M52" s="1"/>
      <c r="N52" s="1">
        <f>COUNTIF('Raw data'!BP:BP, 3)</f>
        <v>0</v>
      </c>
      <c r="O52" s="1">
        <f>COUNTIF('Raw data'!BP:BP, 1)</f>
        <v>0</v>
      </c>
      <c r="P52" s="214">
        <f>COUNTIF('Raw data'!BP:BP, 2)</f>
        <v>0</v>
      </c>
    </row>
    <row r="53" spans="1:16" ht="48" x14ac:dyDescent="0.2">
      <c r="A53" s="243" t="s">
        <v>164</v>
      </c>
      <c r="B53" s="10"/>
      <c r="C53" s="41"/>
      <c r="D53" s="41"/>
      <c r="E53" s="41">
        <f>COUNTIF('Raw data'!BQ:BQ, 1)</f>
        <v>0</v>
      </c>
      <c r="F53" s="200">
        <f>COUNTIF('Raw data'!BQ:BQ, 0)</f>
        <v>0</v>
      </c>
      <c r="G53" s="10"/>
      <c r="H53" s="41"/>
      <c r="I53" s="41"/>
      <c r="J53" s="41">
        <f>COUNTIF('Raw data'!BQ:BQ, 1)</f>
        <v>0</v>
      </c>
      <c r="K53" s="196">
        <f>COUNTIF('Raw data'!BQ:BQ, 0)</f>
        <v>0</v>
      </c>
      <c r="L53" s="213"/>
      <c r="M53" s="1"/>
      <c r="N53" s="1"/>
      <c r="O53" s="1"/>
      <c r="P53" s="214"/>
    </row>
    <row r="54" spans="1:16" ht="48" x14ac:dyDescent="0.2">
      <c r="A54" s="243" t="s">
        <v>165</v>
      </c>
      <c r="B54" s="10"/>
      <c r="C54" s="41"/>
      <c r="D54" s="41">
        <f>COUNTIF('Raw data'!BR:BR, 3)</f>
        <v>0</v>
      </c>
      <c r="E54" s="41">
        <f>COUNTIF('Raw data'!BR:BR, 1)</f>
        <v>0</v>
      </c>
      <c r="F54" s="200">
        <f>COUNTIF('Raw data'!BR:BR, 2)</f>
        <v>0</v>
      </c>
      <c r="G54" s="10"/>
      <c r="H54" s="41"/>
      <c r="I54" s="41"/>
      <c r="J54" s="41"/>
      <c r="K54" s="196"/>
      <c r="L54" s="213"/>
      <c r="M54" s="1"/>
      <c r="N54" s="1">
        <f>COUNTIF('Raw data'!BR:BR, 3)</f>
        <v>0</v>
      </c>
      <c r="O54" s="1">
        <f>COUNTIF('Raw data'!BR:BR, 1)</f>
        <v>0</v>
      </c>
      <c r="P54" s="214">
        <f>COUNTIF('Raw data'!BR:BR, 2)</f>
        <v>0</v>
      </c>
    </row>
    <row r="55" spans="1:16" ht="64" x14ac:dyDescent="0.2">
      <c r="A55" s="243" t="s">
        <v>166</v>
      </c>
      <c r="B55" s="10"/>
      <c r="C55" s="41"/>
      <c r="D55" s="41"/>
      <c r="E55" s="41">
        <f>COUNTIF('Raw data'!BZ:BZ, 1)</f>
        <v>0</v>
      </c>
      <c r="F55" s="200">
        <f>COUNTIF('Raw data'!BZ:BZ, 0)</f>
        <v>0</v>
      </c>
      <c r="G55" s="10"/>
      <c r="H55" s="41"/>
      <c r="I55" s="41"/>
      <c r="J55" s="41">
        <f>COUNTIFS('Raw data'!K:K,"1",'Raw data'!BZ:BZ,1)</f>
        <v>0</v>
      </c>
      <c r="K55" s="196">
        <f>COUNTIFS('Raw data'!K:K,"1",'Raw data'!BZ:BZ,0)</f>
        <v>0</v>
      </c>
      <c r="L55" s="213"/>
      <c r="M55" s="1"/>
      <c r="N55" s="1"/>
      <c r="O55" s="41">
        <f>COUNTIFS('Raw data'!K:K,"2",'Raw data'!BZ:BZ,1)</f>
        <v>0</v>
      </c>
      <c r="P55" s="214">
        <f>COUNTIFS('Raw data'!K:K,"2",'Raw data'!BZ:BZ,0)</f>
        <v>0</v>
      </c>
    </row>
    <row r="56" spans="1:16" ht="48" x14ac:dyDescent="0.2">
      <c r="A56" s="243" t="s">
        <v>167</v>
      </c>
      <c r="B56" s="10">
        <f>COUNTIF('Raw data'!CA:CA, 3)</f>
        <v>0</v>
      </c>
      <c r="C56" s="41"/>
      <c r="D56" s="41"/>
      <c r="E56" s="41">
        <f>COUNTIF('Raw data'!CA:CA, 1)</f>
        <v>0</v>
      </c>
      <c r="F56" s="200">
        <f>COUNTIF('Raw data'!CA:CA, 2)</f>
        <v>0</v>
      </c>
      <c r="G56" s="10">
        <f>COUNTIF('Raw data'!CA:CA, 3)</f>
        <v>0</v>
      </c>
      <c r="H56" s="41"/>
      <c r="I56" s="41"/>
      <c r="J56" s="41">
        <f>COUNTIF('Raw data'!CA:CA, 1)</f>
        <v>0</v>
      </c>
      <c r="K56" s="196">
        <f>COUNTIF('Raw data'!CA:CA, 2)</f>
        <v>0</v>
      </c>
      <c r="L56" s="213"/>
      <c r="M56" s="1"/>
      <c r="N56" s="1"/>
      <c r="O56" s="1"/>
      <c r="P56" s="214"/>
    </row>
    <row r="57" spans="1:16" ht="48" x14ac:dyDescent="0.2">
      <c r="A57" s="243" t="s">
        <v>168</v>
      </c>
      <c r="B57" s="10">
        <f>COUNTIF('Raw data'!CC:CC, 4)</f>
        <v>0</v>
      </c>
      <c r="C57" s="41"/>
      <c r="D57" s="41">
        <f>COUNTIF('Raw data'!CC:CC, 3)</f>
        <v>0</v>
      </c>
      <c r="E57" s="41">
        <f>COUNTIF('Raw data'!CC:CC, 1)</f>
        <v>0</v>
      </c>
      <c r="F57" s="200">
        <f>COUNTIF('Raw data'!CC:CC, 2)</f>
        <v>0</v>
      </c>
      <c r="G57" s="10"/>
      <c r="H57" s="41"/>
      <c r="I57" s="41"/>
      <c r="J57" s="41"/>
      <c r="K57" s="196"/>
      <c r="L57" s="10">
        <f>COUNTIF('Raw data'!CC:CC, 4)</f>
        <v>0</v>
      </c>
      <c r="M57" s="1"/>
      <c r="N57" s="10">
        <f>COUNTIF('Raw data'!CE:CE, 3)</f>
        <v>0</v>
      </c>
      <c r="O57" s="1">
        <f>COUNTIF('Raw data'!CC:CC, 1)</f>
        <v>0</v>
      </c>
      <c r="P57" s="214">
        <f>COUNTIF('Raw data'!CC:CC, 2)</f>
        <v>0</v>
      </c>
    </row>
    <row r="58" spans="1:16" ht="64" x14ac:dyDescent="0.2">
      <c r="A58" s="243" t="s">
        <v>169</v>
      </c>
      <c r="B58" s="10"/>
      <c r="C58" s="41">
        <f>COUNTIF('Raw data'!CE:CE, 2)</f>
        <v>0</v>
      </c>
      <c r="D58" s="41"/>
      <c r="E58" s="41">
        <f>COUNTIF('Raw data'!CE:CE, 1)</f>
        <v>0</v>
      </c>
      <c r="F58" s="200">
        <f>COUNTIF('Raw data'!CE:CE, 0)</f>
        <v>0</v>
      </c>
      <c r="G58" s="10"/>
      <c r="H58" s="41">
        <f>COUNTIFS('Raw data'!K:K,"1",'Raw data'!CE:CE,2)</f>
        <v>0</v>
      </c>
      <c r="I58" s="41"/>
      <c r="J58" s="41">
        <f>COUNTIFS('Raw data'!K:K,"1",'Raw data'!CE:CE,1)</f>
        <v>0</v>
      </c>
      <c r="K58" s="196">
        <f>COUNTIFS('Raw data'!K:K,"1",'Raw data'!CE:CE,0)</f>
        <v>0</v>
      </c>
      <c r="L58" s="213"/>
      <c r="M58" s="1"/>
      <c r="N58" s="1"/>
      <c r="O58" s="1"/>
      <c r="P58" s="214"/>
    </row>
    <row r="59" spans="1:16" ht="112" x14ac:dyDescent="0.2">
      <c r="A59" s="243" t="s">
        <v>170</v>
      </c>
      <c r="B59" s="10"/>
      <c r="C59" s="41">
        <f>COUNTIF('Raw data'!CF:CF, 4)</f>
        <v>0</v>
      </c>
      <c r="D59" s="41">
        <f>COUNTIF('Raw data'!CF:CF, 3)</f>
        <v>0</v>
      </c>
      <c r="E59" s="41">
        <f>COUNTIF('Raw data'!CF:CF, 1)</f>
        <v>0</v>
      </c>
      <c r="F59" s="200">
        <f>COUNTIF('Raw data'!CF:CF, 2)</f>
        <v>0</v>
      </c>
      <c r="G59" s="10"/>
      <c r="H59" s="41"/>
      <c r="I59" s="41"/>
      <c r="J59" s="41"/>
      <c r="K59" s="196"/>
      <c r="L59" s="213"/>
      <c r="M59" s="41">
        <f>COUNTIF('Raw data'!CF:CF, 4)</f>
        <v>0</v>
      </c>
      <c r="N59" s="1">
        <f>COUNTIF('Raw data'!CF:CF, 3)</f>
        <v>0</v>
      </c>
      <c r="O59" s="1">
        <f>COUNTIF('Raw data'!CF:CF, 1)</f>
        <v>0</v>
      </c>
      <c r="P59" s="214">
        <f>COUNTIF('Raw data'!CF:CF, 2)</f>
        <v>0</v>
      </c>
    </row>
    <row r="60" spans="1:16" ht="48" x14ac:dyDescent="0.2">
      <c r="A60" s="243" t="s">
        <v>171</v>
      </c>
      <c r="B60" s="10"/>
      <c r="C60" s="41"/>
      <c r="D60" s="41"/>
      <c r="E60" s="41">
        <f>COUNTIF('Raw data'!CG:CG, 1)</f>
        <v>0</v>
      </c>
      <c r="F60" s="200">
        <f>COUNTIF('Raw data'!CG:CG, 0)</f>
        <v>0</v>
      </c>
      <c r="G60" s="10"/>
      <c r="H60" s="41"/>
      <c r="I60" s="41"/>
      <c r="J60" s="41">
        <f>COUNTIFS('Raw data'!K:K,"1",'Raw data'!CG:CG,1)</f>
        <v>0</v>
      </c>
      <c r="K60" s="196">
        <f>COUNTIFS('Raw data'!K:K,"1",'Raw data'!CG:CG,0)</f>
        <v>0</v>
      </c>
      <c r="L60" s="213"/>
      <c r="M60" s="1"/>
      <c r="N60" s="1"/>
      <c r="O60" s="1"/>
      <c r="P60" s="214"/>
    </row>
    <row r="61" spans="1:16" ht="48" x14ac:dyDescent="0.2">
      <c r="A61" s="243" t="s">
        <v>172</v>
      </c>
      <c r="B61" s="10"/>
      <c r="C61" s="41"/>
      <c r="D61" s="41">
        <f>COUNTIF('Raw data'!CH:CH, 3)</f>
        <v>0</v>
      </c>
      <c r="E61" s="41">
        <f>COUNTIF('Raw data'!CH:CH, 1)</f>
        <v>0</v>
      </c>
      <c r="F61" s="200">
        <f>COUNTIF('Raw data'!CH:CH, 2)</f>
        <v>0</v>
      </c>
      <c r="G61" s="10"/>
      <c r="H61" s="41"/>
      <c r="I61" s="41"/>
      <c r="J61" s="41"/>
      <c r="K61" s="196"/>
      <c r="L61" s="213"/>
      <c r="M61" s="1"/>
      <c r="N61" s="41">
        <f>COUNTIF('Raw data'!CH:CH, 3)</f>
        <v>0</v>
      </c>
      <c r="O61" s="1">
        <f>COUNTIF('Raw data'!CH:CH, 1)</f>
        <v>0</v>
      </c>
      <c r="P61" s="214">
        <f>COUNTIF('Raw data'!CH:CH, 2)</f>
        <v>0</v>
      </c>
    </row>
    <row r="62" spans="1:16" ht="64" x14ac:dyDescent="0.2">
      <c r="A62" s="243" t="s">
        <v>173</v>
      </c>
      <c r="B62" s="10"/>
      <c r="C62" s="41"/>
      <c r="D62" s="41"/>
      <c r="E62" s="41">
        <f>COUNTIF('Raw data'!CI:CI, 1)</f>
        <v>0</v>
      </c>
      <c r="F62" s="200">
        <f>COUNTIF('Raw data'!CI:CI, 0)</f>
        <v>0</v>
      </c>
      <c r="G62" s="10"/>
      <c r="H62" s="41"/>
      <c r="I62" s="41"/>
      <c r="J62" s="41">
        <f>COUNTIFS('Raw data'!K:K,"1",'Raw data'!CI:CI,1)</f>
        <v>0</v>
      </c>
      <c r="K62" s="196">
        <f>COUNTIFS('Raw data'!K:K,"1",'Raw data'!CI:CI,0)</f>
        <v>0</v>
      </c>
      <c r="L62" s="213"/>
      <c r="M62" s="1"/>
      <c r="N62" s="1"/>
      <c r="O62" s="1"/>
      <c r="P62" s="214"/>
    </row>
    <row r="63" spans="1:16" ht="64" x14ac:dyDescent="0.2">
      <c r="A63" s="243" t="s">
        <v>174</v>
      </c>
      <c r="B63" s="10"/>
      <c r="C63" s="41"/>
      <c r="D63" s="41"/>
      <c r="E63" s="41">
        <f>COUNTIF('Raw data'!CJ:CJ, 1)</f>
        <v>0</v>
      </c>
      <c r="F63" s="200">
        <f>COUNTIF('Raw data'!CJ:CJ, 0)</f>
        <v>0</v>
      </c>
      <c r="G63" s="10"/>
      <c r="H63" s="41"/>
      <c r="I63" s="41"/>
      <c r="J63" s="41"/>
      <c r="K63" s="196"/>
      <c r="L63" s="213"/>
      <c r="M63" s="1"/>
      <c r="N63" s="1"/>
      <c r="O63" s="1">
        <f>COUNTIF('Raw data'!CJ:CJ, 1)</f>
        <v>0</v>
      </c>
      <c r="P63" s="214">
        <f>COUNTIF('Raw data'!CJ:CJ, 0)</f>
        <v>0</v>
      </c>
    </row>
    <row r="64" spans="1:16" ht="81" thickBot="1" x14ac:dyDescent="0.25">
      <c r="A64" s="243" t="s">
        <v>175</v>
      </c>
      <c r="B64" s="11"/>
      <c r="C64" s="201"/>
      <c r="D64" s="201"/>
      <c r="E64" s="201">
        <f>COUNTIF('Raw data'!CK:CK, 1)</f>
        <v>0</v>
      </c>
      <c r="F64" s="202">
        <f>COUNTIF('Raw data'!CK:CK, 0)</f>
        <v>0</v>
      </c>
      <c r="G64" s="11"/>
      <c r="H64" s="201"/>
      <c r="I64" s="201"/>
      <c r="J64" s="201">
        <f>COUNTIFS('Raw data'!K:K,"1",'Raw data'!CK:CK,1)</f>
        <v>0</v>
      </c>
      <c r="K64" s="209">
        <f>COUNTIFS('Raw data'!K:K,"1",'Raw data'!CK:CK,0)</f>
        <v>0</v>
      </c>
      <c r="L64" s="215"/>
      <c r="M64" s="216"/>
      <c r="N64" s="216"/>
      <c r="O64" s="216">
        <f>COUNTIFS('Raw data'!K:K,"2",'Raw data'!CK:CK,1)</f>
        <v>0</v>
      </c>
      <c r="P64" s="217">
        <f>COUNTIFS('Raw data'!K:K,"2",'Raw data'!CK:CK,0)</f>
        <v>0</v>
      </c>
    </row>
    <row r="65" spans="1:6" x14ac:dyDescent="0.2">
      <c r="A65" s="3"/>
      <c r="B65" s="3"/>
      <c r="C65" s="3"/>
      <c r="D65" s="3"/>
      <c r="E65" s="3"/>
      <c r="F65" s="3"/>
    </row>
    <row r="66" spans="1:6" x14ac:dyDescent="0.2">
      <c r="A66" s="3"/>
      <c r="B66" s="3"/>
      <c r="C66" s="3"/>
      <c r="D66" s="3"/>
      <c r="E66" s="3"/>
      <c r="F66" s="3"/>
    </row>
    <row r="67" spans="1:6" x14ac:dyDescent="0.2">
      <c r="A67" s="41"/>
      <c r="B67" s="41"/>
      <c r="C67" s="41"/>
      <c r="D67" s="219" t="s">
        <v>118</v>
      </c>
      <c r="E67" s="219" t="s">
        <v>176</v>
      </c>
      <c r="F67" s="3"/>
    </row>
    <row r="68" spans="1:6" x14ac:dyDescent="0.2">
      <c r="A68" s="41"/>
      <c r="B68" s="41"/>
      <c r="C68" s="41"/>
      <c r="D68" s="219">
        <f>COUNTIFS('Raw data'!K:K,"1",'Raw data'!P:P,"1",'Raw data'!Q:Q,1,'Raw data'!R:R,1)</f>
        <v>0</v>
      </c>
      <c r="E68" s="219"/>
      <c r="F68" s="3"/>
    </row>
    <row r="69" spans="1:6" ht="16" x14ac:dyDescent="0.2">
      <c r="A69" s="218" t="s">
        <v>177</v>
      </c>
      <c r="B69" s="41" t="s">
        <v>178</v>
      </c>
      <c r="C69" s="41" t="s">
        <v>179</v>
      </c>
      <c r="D69" s="41">
        <f>COUNTIFS('Raw data'!K:K,"1",'Raw data'!P:P,1)</f>
        <v>0</v>
      </c>
      <c r="E69" s="41"/>
      <c r="F69" s="3"/>
    </row>
    <row r="70" spans="1:6" x14ac:dyDescent="0.2">
      <c r="A70" s="41"/>
      <c r="B70" s="41" t="s">
        <v>180</v>
      </c>
      <c r="C70" s="41" t="s">
        <v>181</v>
      </c>
      <c r="D70" s="41">
        <f>COUNTIFS('Raw data'!K:K,"1",'Raw data'!Q:Q,1)</f>
        <v>0</v>
      </c>
      <c r="E70" s="41"/>
      <c r="F70" s="3"/>
    </row>
    <row r="71" spans="1:6" ht="48" x14ac:dyDescent="0.2">
      <c r="A71" s="41"/>
      <c r="B71" s="41" t="s">
        <v>182</v>
      </c>
      <c r="C71" s="218" t="s">
        <v>183</v>
      </c>
      <c r="D71" s="41">
        <f>COUNTIFS('Raw data'!K:K,"1",'Raw data'!R:R,1)</f>
        <v>0</v>
      </c>
      <c r="E71" s="41"/>
      <c r="F71" s="3"/>
    </row>
    <row r="72" spans="1:6" x14ac:dyDescent="0.2">
      <c r="A72" s="3"/>
      <c r="B72" s="3"/>
      <c r="C72" s="3"/>
      <c r="D72" s="3"/>
      <c r="E72" s="3"/>
      <c r="F72" s="3"/>
    </row>
    <row r="73" spans="1:6" x14ac:dyDescent="0.2">
      <c r="A73" s="3"/>
      <c r="B73" s="3"/>
      <c r="C73" s="3"/>
      <c r="D73" s="220" t="s">
        <v>118</v>
      </c>
      <c r="E73" s="220" t="s">
        <v>176</v>
      </c>
      <c r="F73" s="3"/>
    </row>
    <row r="74" spans="1:6" x14ac:dyDescent="0.2">
      <c r="A74" s="41" t="s">
        <v>177</v>
      </c>
      <c r="B74" s="41" t="s">
        <v>184</v>
      </c>
      <c r="C74" s="41" t="s">
        <v>185</v>
      </c>
      <c r="D74" s="236"/>
      <c r="E74" s="41">
        <f>COUNTIFS('Raw data'!K:K,"2",'Raw data'!S:S,1)</f>
        <v>0</v>
      </c>
      <c r="F74" s="3"/>
    </row>
    <row r="75" spans="1:6" x14ac:dyDescent="0.2">
      <c r="A75" s="41"/>
      <c r="B75" s="41" t="s">
        <v>186</v>
      </c>
      <c r="C75" s="41" t="s">
        <v>181</v>
      </c>
      <c r="D75" s="236"/>
      <c r="E75" s="41">
        <f>COUNTIFS('Raw data'!K:K,"2",'Raw data'!T:T,1)</f>
        <v>0</v>
      </c>
      <c r="F75" s="3"/>
    </row>
    <row r="76" spans="1:6" ht="64" x14ac:dyDescent="0.2">
      <c r="A76" s="41"/>
      <c r="B76" s="41" t="s">
        <v>187</v>
      </c>
      <c r="C76" s="218" t="s">
        <v>188</v>
      </c>
      <c r="D76" s="236"/>
      <c r="E76" s="41">
        <f>COUNTIFS('Raw data'!K:K,"2",'Raw data'!U:U,1)</f>
        <v>0</v>
      </c>
      <c r="F76" s="3"/>
    </row>
    <row r="77" spans="1:6" x14ac:dyDescent="0.2">
      <c r="A77" s="3"/>
      <c r="B77" s="3"/>
      <c r="C77" s="3"/>
      <c r="D77" s="3"/>
      <c r="E77" s="3"/>
      <c r="F77" s="3"/>
    </row>
    <row r="78" spans="1:6" x14ac:dyDescent="0.2">
      <c r="A78" s="197"/>
      <c r="B78" s="3"/>
      <c r="C78" s="3"/>
      <c r="D78" s="3"/>
      <c r="E78" s="3"/>
      <c r="F78" s="3"/>
    </row>
    <row r="79" spans="1:6" x14ac:dyDescent="0.2">
      <c r="A79" s="41"/>
      <c r="B79" s="41"/>
      <c r="C79" s="41"/>
      <c r="D79" s="219" t="s">
        <v>118</v>
      </c>
      <c r="E79" s="219" t="s">
        <v>176</v>
      </c>
      <c r="F79" s="3"/>
    </row>
    <row r="80" spans="1:6" ht="48" x14ac:dyDescent="0.2">
      <c r="A80" s="218" t="s">
        <v>189</v>
      </c>
      <c r="B80" s="41"/>
      <c r="C80" s="41"/>
      <c r="D80" s="219">
        <f>COUNTIFS('Raw data'!K:K,"1",'Raw data'!AH:AH,"1",'Raw data'!AI:AI,1,'Raw data'!AJ:AJ,1)</f>
        <v>0</v>
      </c>
      <c r="E80" s="219"/>
      <c r="F80" s="3"/>
    </row>
    <row r="81" spans="1:6" x14ac:dyDescent="0.2">
      <c r="A81" s="41"/>
      <c r="B81" s="41" t="s">
        <v>190</v>
      </c>
      <c r="C81" s="41" t="s">
        <v>191</v>
      </c>
      <c r="D81" s="41">
        <f>COUNTIFS('Raw data'!K:K,"1",'Raw data'!AH:AH,1)</f>
        <v>0</v>
      </c>
      <c r="E81" s="41">
        <f>COUNTIFS('Raw data'!K:K,"2",'Raw data'!AH:AH,1)</f>
        <v>0</v>
      </c>
      <c r="F81" s="3"/>
    </row>
    <row r="82" spans="1:6" x14ac:dyDescent="0.2">
      <c r="A82" s="41"/>
      <c r="B82" s="41" t="s">
        <v>192</v>
      </c>
      <c r="C82" s="41" t="s">
        <v>193</v>
      </c>
      <c r="D82" s="41">
        <f>COUNTIFS('Raw data'!K:K,"1",'Raw data'!AI:AI,1)</f>
        <v>0</v>
      </c>
      <c r="E82" s="41">
        <f>COUNTIFS('Raw data'!K:K,"2",'Raw data'!AI:AI,1)</f>
        <v>0</v>
      </c>
      <c r="F82" s="3"/>
    </row>
    <row r="83" spans="1:6" x14ac:dyDescent="0.2">
      <c r="A83" s="3"/>
      <c r="B83" s="41" t="s">
        <v>194</v>
      </c>
      <c r="C83" s="41" t="s">
        <v>195</v>
      </c>
      <c r="D83" s="41">
        <f>COUNTIFS('Raw data'!K:K,"1",'Raw data'!AJ:AJ,1)</f>
        <v>0</v>
      </c>
      <c r="E83" s="41">
        <f>COUNTIFS('Raw data'!K:K,"1",'Raw data'!AJ:AJ,1)</f>
        <v>0</v>
      </c>
      <c r="F83" s="3"/>
    </row>
    <row r="84" spans="1:6" x14ac:dyDescent="0.2">
      <c r="A84" s="3"/>
      <c r="B84" s="3"/>
      <c r="C84" s="3"/>
      <c r="D84" s="219" t="s">
        <v>118</v>
      </c>
      <c r="E84" s="219" t="s">
        <v>176</v>
      </c>
      <c r="F84" s="3"/>
    </row>
    <row r="85" spans="1:6" ht="112" x14ac:dyDescent="0.2">
      <c r="A85" s="218" t="s">
        <v>196</v>
      </c>
      <c r="B85" s="3"/>
      <c r="C85" s="3"/>
      <c r="D85" s="219">
        <f>COUNTIFS('Raw data'!K:K,"1",'Raw data'!AL:AL,1,'Raw data'!AM:AM,1,'Raw data'!AN:AN,1)</f>
        <v>0</v>
      </c>
      <c r="E85" s="219"/>
      <c r="F85" s="3"/>
    </row>
    <row r="86" spans="1:6" ht="32" x14ac:dyDescent="0.2">
      <c r="A86" s="41"/>
      <c r="B86" s="41" t="s">
        <v>197</v>
      </c>
      <c r="C86" s="218" t="s">
        <v>198</v>
      </c>
      <c r="D86" s="41">
        <f>COUNTIFS('Raw data'!K:K,"1",'Raw data'!AL:AL,1)</f>
        <v>0</v>
      </c>
      <c r="E86" s="221"/>
      <c r="F86" s="3"/>
    </row>
    <row r="87" spans="1:6" ht="32" x14ac:dyDescent="0.2">
      <c r="A87" s="41"/>
      <c r="B87" s="41" t="s">
        <v>199</v>
      </c>
      <c r="C87" s="218" t="s">
        <v>200</v>
      </c>
      <c r="D87" s="41">
        <f>COUNTIFS('Raw data'!K:K,"1",'Raw data'!AM:AM,1)</f>
        <v>0</v>
      </c>
      <c r="E87" s="221"/>
      <c r="F87" s="3"/>
    </row>
    <row r="88" spans="1:6" x14ac:dyDescent="0.2">
      <c r="A88" s="3"/>
      <c r="B88" s="41" t="s">
        <v>201</v>
      </c>
      <c r="C88" s="41" t="s">
        <v>195</v>
      </c>
      <c r="D88" s="41">
        <f>COUNTIFS('Raw data'!K:K,"1",'Raw data'!AN:AN,1)</f>
        <v>0</v>
      </c>
      <c r="E88" s="221"/>
      <c r="F88" s="3"/>
    </row>
    <row r="89" spans="1:6" ht="32" x14ac:dyDescent="0.2">
      <c r="A89" s="218" t="s">
        <v>202</v>
      </c>
      <c r="B89" s="3"/>
      <c r="C89" s="3"/>
      <c r="D89" s="220" t="s">
        <v>118</v>
      </c>
      <c r="E89" s="219" t="s">
        <v>176</v>
      </c>
      <c r="F89" s="3"/>
    </row>
    <row r="90" spans="1:6" x14ac:dyDescent="0.2">
      <c r="A90" s="218"/>
      <c r="B90" s="3"/>
      <c r="C90" s="3"/>
      <c r="D90" s="220">
        <f>COUNTIFS('Raw data'!K:K,"1",'Raw data'!AR:AR,1,'Raw data'!AS:AS,1)</f>
        <v>0</v>
      </c>
      <c r="E90" s="219"/>
      <c r="F90" s="3"/>
    </row>
    <row r="91" spans="1:6" x14ac:dyDescent="0.2">
      <c r="A91" s="41"/>
      <c r="B91" s="41" t="s">
        <v>203</v>
      </c>
      <c r="C91" s="41" t="s">
        <v>204</v>
      </c>
      <c r="D91" s="41">
        <f>COUNTIFS('Raw data'!K:K,"1",'Raw data'!AR:AR,1)</f>
        <v>0</v>
      </c>
      <c r="E91" s="221"/>
      <c r="F91" s="3"/>
    </row>
    <row r="92" spans="1:6" x14ac:dyDescent="0.2">
      <c r="A92" s="195"/>
      <c r="B92" s="41" t="s">
        <v>205</v>
      </c>
      <c r="C92" s="41" t="s">
        <v>206</v>
      </c>
      <c r="D92" s="41">
        <f>COUNTIFS('Raw data'!K:K,"1",'Raw data'!AS:AS,1)</f>
        <v>0</v>
      </c>
      <c r="E92" s="221"/>
      <c r="F92" s="3"/>
    </row>
    <row r="93" spans="1:6" ht="32" x14ac:dyDescent="0.2">
      <c r="A93" s="218" t="s">
        <v>207</v>
      </c>
      <c r="B93" s="195"/>
      <c r="C93" s="195"/>
      <c r="D93" s="219" t="s">
        <v>118</v>
      </c>
      <c r="E93" s="219" t="s">
        <v>176</v>
      </c>
      <c r="F93" s="3"/>
    </row>
    <row r="94" spans="1:6" x14ac:dyDescent="0.2">
      <c r="A94" s="41"/>
      <c r="B94" s="41" t="s">
        <v>208</v>
      </c>
      <c r="C94" s="41" t="s">
        <v>209</v>
      </c>
      <c r="D94" s="221"/>
      <c r="E94" s="41">
        <f>COUNTIFS('Raw data'!K:K,"2",'Raw data'!AT:AT,1)</f>
        <v>0</v>
      </c>
      <c r="F94" s="3"/>
    </row>
    <row r="95" spans="1:6" x14ac:dyDescent="0.2">
      <c r="A95" s="41"/>
      <c r="B95" s="41" t="s">
        <v>210</v>
      </c>
      <c r="C95" s="41" t="s">
        <v>206</v>
      </c>
      <c r="D95" s="221"/>
      <c r="E95" s="41">
        <f>COUNTIFS('Raw data'!K:K,"2",'Raw data'!AU:AU,1)</f>
        <v>0</v>
      </c>
      <c r="F95" s="3"/>
    </row>
    <row r="96" spans="1:6" x14ac:dyDescent="0.2">
      <c r="A96" s="3"/>
      <c r="B96" s="41" t="s">
        <v>211</v>
      </c>
      <c r="C96" s="41" t="s">
        <v>212</v>
      </c>
      <c r="D96" s="221"/>
      <c r="E96" s="41">
        <f>COUNTIFS('Raw data'!K:K,"2",'Raw data'!AV:AV,1)</f>
        <v>0</v>
      </c>
      <c r="F96" s="3"/>
    </row>
    <row r="97" spans="1:6" x14ac:dyDescent="0.2">
      <c r="A97" s="41"/>
      <c r="B97" s="3"/>
      <c r="C97" s="3"/>
      <c r="D97" s="219" t="s">
        <v>118</v>
      </c>
      <c r="E97" s="219" t="s">
        <v>176</v>
      </c>
      <c r="F97" s="3"/>
    </row>
    <row r="98" spans="1:6" ht="48" x14ac:dyDescent="0.2">
      <c r="A98" s="218" t="s">
        <v>213</v>
      </c>
      <c r="B98" s="41"/>
      <c r="C98" s="41"/>
      <c r="D98" s="219">
        <f>COUNTIFS('Raw data'!K:K,"1",'Raw data'!BS:BS,1,'Raw data'!BT:BT,1,'Raw data'!BU:BU,1,'Raw data'!BV:BV,1,'Raw data'!BW:BW,1)</f>
        <v>0</v>
      </c>
      <c r="E98" s="219"/>
      <c r="F98" s="3"/>
    </row>
    <row r="99" spans="1:6" x14ac:dyDescent="0.2">
      <c r="A99" s="41"/>
      <c r="B99" s="41" t="s">
        <v>214</v>
      </c>
      <c r="C99" s="41" t="s">
        <v>215</v>
      </c>
      <c r="D99" s="41">
        <f>COUNTIFS('Raw data'!K:K,"1",'Raw data'!BS:BS,1)</f>
        <v>0</v>
      </c>
      <c r="E99" s="41">
        <f>COUNTIFS('Raw data'!K:K,"2",'Raw data'!BS:BS,1)</f>
        <v>0</v>
      </c>
      <c r="F99" s="3"/>
    </row>
    <row r="100" spans="1:6" x14ac:dyDescent="0.2">
      <c r="A100" s="41"/>
      <c r="B100" s="41" t="s">
        <v>216</v>
      </c>
      <c r="C100" s="41" t="s">
        <v>217</v>
      </c>
      <c r="D100" s="41">
        <f>COUNTIFS('Raw data'!K:K,"1",'Raw data'!BT:BT,1)</f>
        <v>0</v>
      </c>
      <c r="E100" s="41">
        <f>COUNTIFS('Raw data'!K:K,"2",'Raw data'!BT:BT,1)</f>
        <v>0</v>
      </c>
      <c r="F100" s="3"/>
    </row>
    <row r="101" spans="1:6" x14ac:dyDescent="0.2">
      <c r="A101" s="41"/>
      <c r="B101" s="41" t="s">
        <v>218</v>
      </c>
      <c r="C101" s="41" t="s">
        <v>219</v>
      </c>
      <c r="D101" s="41">
        <f>COUNTIFS('Raw data'!K:K,"1",'Raw data'!BU:BU,1)</f>
        <v>0</v>
      </c>
      <c r="E101" s="41">
        <f>COUNTIFS('Raw data'!K:K,"2",'Raw data'!BU:BU,1)</f>
        <v>0</v>
      </c>
      <c r="F101" s="3"/>
    </row>
    <row r="102" spans="1:6" x14ac:dyDescent="0.2">
      <c r="A102" s="41"/>
      <c r="B102" s="41" t="s">
        <v>220</v>
      </c>
      <c r="C102" s="41" t="s">
        <v>221</v>
      </c>
      <c r="D102" s="41">
        <f>COUNTIFS('Raw data'!K:K,"1",'Raw data'!BV:BV,1)</f>
        <v>0</v>
      </c>
      <c r="E102" s="41">
        <f>COUNTIFS('Raw data'!K:K,"2",'Raw data'!BV:BV,1)</f>
        <v>0</v>
      </c>
      <c r="F102" s="3"/>
    </row>
    <row r="103" spans="1:6" x14ac:dyDescent="0.2">
      <c r="A103" s="41"/>
      <c r="B103" s="41" t="s">
        <v>222</v>
      </c>
      <c r="C103" s="41" t="s">
        <v>223</v>
      </c>
      <c r="D103" s="41">
        <f>COUNTIFS('Raw data'!K:K,"1",'Raw data'!BW:BW,1)</f>
        <v>0</v>
      </c>
      <c r="E103" s="41">
        <f>COUNTIFS('Raw data'!K:K,"2",'Raw data'!BW:BW,1)</f>
        <v>0</v>
      </c>
      <c r="F103" s="3"/>
    </row>
    <row r="104" spans="1:6" x14ac:dyDescent="0.2">
      <c r="A104" s="41"/>
      <c r="B104" s="41" t="s">
        <v>224</v>
      </c>
      <c r="C104" s="41" t="s">
        <v>225</v>
      </c>
      <c r="D104" s="41">
        <f>COUNTIFS('Raw data'!K:K,"1",'Raw data'!BX:BX,1)</f>
        <v>0</v>
      </c>
      <c r="E104" s="41">
        <f>COUNTIFS('Raw data'!K:K,"2",'Raw data'!BX:BX,1)</f>
        <v>0</v>
      </c>
      <c r="F104" s="3"/>
    </row>
    <row r="105" spans="1:6" x14ac:dyDescent="0.2">
      <c r="A105" s="3"/>
      <c r="B105" s="3"/>
      <c r="C105" s="3"/>
      <c r="D105" s="220" t="s">
        <v>118</v>
      </c>
      <c r="E105" s="220" t="s">
        <v>176</v>
      </c>
      <c r="F105" s="3"/>
    </row>
    <row r="106" spans="1:6" ht="48" x14ac:dyDescent="0.2">
      <c r="A106" s="218" t="s">
        <v>226</v>
      </c>
      <c r="B106" s="3"/>
      <c r="C106" s="3"/>
      <c r="D106" s="220">
        <f>COUNTIFS('Raw data'!K:K,"1",'Raw data'!CL:CL,"1",'Raw data'!CM:CM,1,'Raw data'!CN:CN,1)</f>
        <v>0</v>
      </c>
      <c r="E106" s="323"/>
      <c r="F106" s="3"/>
    </row>
    <row r="107" spans="1:6" x14ac:dyDescent="0.2">
      <c r="A107" s="41"/>
      <c r="B107" s="41" t="s">
        <v>227</v>
      </c>
      <c r="C107" s="41" t="s">
        <v>228</v>
      </c>
      <c r="D107" s="41">
        <f>COUNTIFS('Raw data'!K:K,"1",'Raw data'!CL:CL,1)</f>
        <v>0</v>
      </c>
      <c r="E107" s="221"/>
      <c r="F107" s="3"/>
    </row>
    <row r="108" spans="1:6" x14ac:dyDescent="0.2">
      <c r="A108" s="41"/>
      <c r="B108" s="41" t="s">
        <v>229</v>
      </c>
      <c r="C108" s="41" t="s">
        <v>230</v>
      </c>
      <c r="D108" s="41">
        <f>COUNTIFS('Raw data'!K:K,"1",'Raw data'!CM:CM,1)</f>
        <v>0</v>
      </c>
      <c r="E108" s="221"/>
      <c r="F108" s="3"/>
    </row>
    <row r="109" spans="1:6" ht="16" x14ac:dyDescent="0.2">
      <c r="A109" s="41"/>
      <c r="B109" s="41" t="s">
        <v>231</v>
      </c>
      <c r="C109" s="218" t="s">
        <v>232</v>
      </c>
      <c r="D109" s="41">
        <f>COUNTIFS('Raw data'!K:K,"1",'Raw data'!CN:CN,1)</f>
        <v>0</v>
      </c>
      <c r="E109" s="221"/>
      <c r="F109" s="3"/>
    </row>
    <row r="110" spans="1:6" x14ac:dyDescent="0.2">
      <c r="A110" s="41"/>
      <c r="B110" s="41" t="s">
        <v>233</v>
      </c>
      <c r="C110" s="41" t="s">
        <v>234</v>
      </c>
      <c r="D110" s="41">
        <f>COUNTIFS('Raw data'!K:K,"1",'Raw data'!CO:CO,1)</f>
        <v>0</v>
      </c>
      <c r="E110" s="221"/>
      <c r="F110" s="3"/>
    </row>
    <row r="111" spans="1:6" x14ac:dyDescent="0.2">
      <c r="B111" s="3"/>
      <c r="C111" s="3"/>
      <c r="D111" s="3"/>
      <c r="E111" s="3"/>
      <c r="F111" s="3"/>
    </row>
    <row r="112" spans="1:6" x14ac:dyDescent="0.2">
      <c r="A112" s="223"/>
      <c r="B112" s="3"/>
      <c r="C112" s="3"/>
      <c r="D112" s="197"/>
      <c r="E112" s="197"/>
      <c r="F112" s="3"/>
    </row>
    <row r="113" spans="1:6" x14ac:dyDescent="0.2">
      <c r="A113" s="3"/>
      <c r="B113" s="3"/>
      <c r="C113" s="3"/>
      <c r="D113" s="3"/>
      <c r="E113" s="3"/>
      <c r="F113" s="3"/>
    </row>
    <row r="114" spans="1:6" x14ac:dyDescent="0.2">
      <c r="A114" s="3"/>
      <c r="B114" s="3"/>
      <c r="C114" s="3"/>
      <c r="D114" s="3"/>
      <c r="E114" s="3"/>
      <c r="F114" s="3"/>
    </row>
    <row r="115" spans="1:6" x14ac:dyDescent="0.2">
      <c r="A115" s="3"/>
      <c r="B115" s="3"/>
      <c r="C115" s="3"/>
      <c r="D115" s="3"/>
      <c r="E115" s="3"/>
      <c r="F115" s="3"/>
    </row>
    <row r="116" spans="1:6" x14ac:dyDescent="0.2">
      <c r="B116" s="3"/>
      <c r="C116" s="3"/>
      <c r="D116" s="3"/>
      <c r="E116" s="3"/>
      <c r="F116" s="3"/>
    </row>
    <row r="117" spans="1:6" x14ac:dyDescent="0.2">
      <c r="D117" s="3"/>
      <c r="E117" s="3"/>
      <c r="F117" s="3"/>
    </row>
    <row r="118" spans="1:6" x14ac:dyDescent="0.2">
      <c r="D118" s="3"/>
      <c r="E118" s="3"/>
      <c r="F118" s="3"/>
    </row>
    <row r="119" spans="1:6" x14ac:dyDescent="0.2">
      <c r="D119" s="3"/>
      <c r="E119" s="3"/>
      <c r="F119" s="3"/>
    </row>
    <row r="120" spans="1:6" x14ac:dyDescent="0.2">
      <c r="D120" s="3"/>
      <c r="E120" s="3"/>
      <c r="F120" s="3"/>
    </row>
    <row r="121" spans="1:6" x14ac:dyDescent="0.2">
      <c r="D121" s="3"/>
      <c r="E121" s="3"/>
      <c r="F121" s="3"/>
    </row>
    <row r="122" spans="1:6" x14ac:dyDescent="0.2">
      <c r="D122" s="3"/>
      <c r="E122" s="3"/>
      <c r="F122" s="3"/>
    </row>
    <row r="123" spans="1:6" x14ac:dyDescent="0.2">
      <c r="D123" s="3"/>
      <c r="E123" s="3"/>
      <c r="F123" s="3"/>
    </row>
    <row r="124" spans="1:6" x14ac:dyDescent="0.2">
      <c r="D124" s="3"/>
      <c r="E124" s="3"/>
      <c r="F124" s="3"/>
    </row>
    <row r="125" spans="1:6" x14ac:dyDescent="0.2">
      <c r="D125" s="3"/>
      <c r="E125" s="3"/>
      <c r="F125" s="3"/>
    </row>
    <row r="126" spans="1:6" x14ac:dyDescent="0.2">
      <c r="D126" s="3"/>
      <c r="E126" s="3"/>
      <c r="F126" s="3"/>
    </row>
    <row r="127" spans="1:6" x14ac:dyDescent="0.2">
      <c r="D127" s="3"/>
      <c r="E127" s="3"/>
      <c r="F127" s="3"/>
    </row>
    <row r="128" spans="1:6" x14ac:dyDescent="0.2">
      <c r="D128" s="3"/>
      <c r="E128" s="3"/>
      <c r="F128" s="3"/>
    </row>
    <row r="129" spans="2:6" x14ac:dyDescent="0.2">
      <c r="D129" s="3"/>
      <c r="E129" s="3"/>
      <c r="F129" s="3"/>
    </row>
    <row r="130" spans="2:6" x14ac:dyDescent="0.2">
      <c r="D130" s="3"/>
      <c r="E130" s="3"/>
      <c r="F130" s="3"/>
    </row>
    <row r="131" spans="2:6" x14ac:dyDescent="0.2">
      <c r="D131" s="3"/>
      <c r="E131" s="3"/>
      <c r="F131" s="3"/>
    </row>
    <row r="132" spans="2:6" x14ac:dyDescent="0.2">
      <c r="D132" s="3"/>
      <c r="E132" s="3"/>
    </row>
    <row r="133" spans="2:6" x14ac:dyDescent="0.2">
      <c r="D133" s="3"/>
      <c r="E133" s="3"/>
    </row>
    <row r="134" spans="2:6" x14ac:dyDescent="0.2">
      <c r="B134" s="3"/>
      <c r="C134" s="3"/>
      <c r="D134" s="3"/>
      <c r="E134" s="3"/>
    </row>
    <row r="135" spans="2:6" x14ac:dyDescent="0.2">
      <c r="B135" s="3"/>
      <c r="C135" s="3"/>
      <c r="D135" s="3"/>
      <c r="E135" s="3"/>
    </row>
    <row r="136" spans="2:6" x14ac:dyDescent="0.2">
      <c r="B136" s="3"/>
      <c r="C136" s="3"/>
      <c r="D136" s="3"/>
      <c r="E136" s="3"/>
    </row>
    <row r="137" spans="2:6" x14ac:dyDescent="0.2">
      <c r="B137" s="3"/>
      <c r="C137" s="3"/>
      <c r="D137" s="3"/>
      <c r="E137" s="3"/>
    </row>
    <row r="138" spans="2:6" x14ac:dyDescent="0.2">
      <c r="B138" s="3"/>
      <c r="C138" s="3"/>
      <c r="D138" s="3"/>
      <c r="E138" s="3"/>
    </row>
    <row r="139" spans="2:6" x14ac:dyDescent="0.2">
      <c r="B139" s="3"/>
      <c r="C139" s="3"/>
      <c r="D139" s="3"/>
      <c r="E139" s="3"/>
    </row>
    <row r="140" spans="2:6" x14ac:dyDescent="0.2">
      <c r="B140" s="3"/>
      <c r="C140" s="3"/>
      <c r="D140" s="3"/>
      <c r="E140" s="3"/>
    </row>
    <row r="141" spans="2:6" x14ac:dyDescent="0.2">
      <c r="B141" s="3"/>
      <c r="C141" s="3"/>
      <c r="D141" s="3"/>
      <c r="E141" s="3"/>
    </row>
    <row r="142" spans="2:6" x14ac:dyDescent="0.2">
      <c r="B142" s="3"/>
      <c r="C142" s="3"/>
      <c r="D142" s="3"/>
      <c r="E142" s="3"/>
    </row>
    <row r="143" spans="2:6" x14ac:dyDescent="0.2">
      <c r="B143" s="3"/>
      <c r="C143" s="3"/>
      <c r="D143" s="3"/>
      <c r="E143" s="3"/>
    </row>
    <row r="144" spans="2:6" x14ac:dyDescent="0.2">
      <c r="B144" s="3"/>
      <c r="C144" s="3"/>
      <c r="D144" s="3"/>
      <c r="E144" s="3"/>
    </row>
    <row r="145" spans="2:5" x14ac:dyDescent="0.2">
      <c r="B145" s="3"/>
      <c r="C145" s="3"/>
      <c r="D145" s="3"/>
      <c r="E145" s="3"/>
    </row>
    <row r="146" spans="2:5" x14ac:dyDescent="0.2">
      <c r="B146" s="3"/>
      <c r="C146" s="3"/>
      <c r="D146" s="3"/>
      <c r="E146" s="3"/>
    </row>
    <row r="147" spans="2:5" x14ac:dyDescent="0.2">
      <c r="B147" s="3"/>
      <c r="C147" s="3"/>
      <c r="D147" s="3"/>
      <c r="E147" s="3"/>
    </row>
    <row r="148" spans="2:5" x14ac:dyDescent="0.2">
      <c r="B148" s="3"/>
      <c r="C148" s="3"/>
      <c r="D148" s="3"/>
      <c r="E148" s="3"/>
    </row>
    <row r="149" spans="2:5" x14ac:dyDescent="0.2">
      <c r="B149" s="3"/>
      <c r="C149" s="3"/>
      <c r="D149" s="3"/>
      <c r="E149" s="3"/>
    </row>
    <row r="150" spans="2:5" x14ac:dyDescent="0.2">
      <c r="B150" s="3"/>
      <c r="C150" s="3"/>
      <c r="D150" s="3"/>
      <c r="E150" s="3"/>
    </row>
    <row r="151" spans="2:5" x14ac:dyDescent="0.2">
      <c r="B151" s="3"/>
      <c r="C151" s="3"/>
      <c r="D151" s="3"/>
      <c r="E151" s="3"/>
    </row>
    <row r="152" spans="2:5" x14ac:dyDescent="0.2">
      <c r="B152" s="3"/>
      <c r="C152" s="3"/>
      <c r="D152" s="3"/>
      <c r="E152" s="3"/>
    </row>
    <row r="153" spans="2:5" x14ac:dyDescent="0.2">
      <c r="B153" s="3"/>
      <c r="C153" s="3"/>
      <c r="D153" s="3"/>
      <c r="E153" s="3"/>
    </row>
    <row r="154" spans="2:5" x14ac:dyDescent="0.2">
      <c r="B154" s="3"/>
      <c r="C154" s="3"/>
      <c r="D154" s="3"/>
      <c r="E154" s="3"/>
    </row>
    <row r="155" spans="2:5" x14ac:dyDescent="0.2">
      <c r="B155" s="3"/>
      <c r="C155" s="3"/>
      <c r="D155" s="3"/>
      <c r="E155" s="3"/>
    </row>
    <row r="156" spans="2:5" x14ac:dyDescent="0.2">
      <c r="B156" s="3"/>
      <c r="C156" s="3"/>
      <c r="D156" s="3"/>
      <c r="E156" s="3"/>
    </row>
    <row r="157" spans="2:5" x14ac:dyDescent="0.2">
      <c r="B157" s="3"/>
      <c r="C157" s="3"/>
      <c r="D157" s="3"/>
      <c r="E157" s="3"/>
    </row>
    <row r="158" spans="2:5" x14ac:dyDescent="0.2">
      <c r="B158" s="3"/>
      <c r="C158" s="3"/>
      <c r="D158" s="3"/>
      <c r="E158" s="3"/>
    </row>
    <row r="159" spans="2:5" x14ac:dyDescent="0.2">
      <c r="B159" s="3"/>
      <c r="C159" s="3"/>
      <c r="D159" s="3"/>
      <c r="E159" s="3"/>
    </row>
    <row r="160" spans="2:5" x14ac:dyDescent="0.2">
      <c r="B160" s="3"/>
      <c r="C160" s="3"/>
      <c r="D160" s="3"/>
      <c r="E160" s="3"/>
    </row>
    <row r="161" spans="2:5" x14ac:dyDescent="0.2">
      <c r="B161" s="3"/>
      <c r="C161" s="3"/>
      <c r="D161" s="3"/>
      <c r="E161" s="3"/>
    </row>
    <row r="162" spans="2:5" x14ac:dyDescent="0.2">
      <c r="B162" s="3"/>
      <c r="C162" s="3"/>
      <c r="D162" s="3"/>
      <c r="E162" s="3"/>
    </row>
    <row r="163" spans="2:5" x14ac:dyDescent="0.2">
      <c r="B163" s="3"/>
      <c r="C163" s="3"/>
      <c r="D163" s="3"/>
      <c r="E163" s="3"/>
    </row>
    <row r="164" spans="2:5" x14ac:dyDescent="0.2">
      <c r="B164" s="3"/>
      <c r="C164" s="3"/>
      <c r="D164" s="3"/>
      <c r="E164" s="3"/>
    </row>
    <row r="165" spans="2:5" x14ac:dyDescent="0.2">
      <c r="B165" s="3"/>
      <c r="C165" s="3"/>
      <c r="D165" s="3"/>
    </row>
    <row r="166" spans="2:5" x14ac:dyDescent="0.2">
      <c r="B166" s="3"/>
      <c r="C166" s="3"/>
      <c r="D166" s="3"/>
    </row>
  </sheetData>
  <sheetProtection algorithmName="SHA-512" hashValue="bxHvDu6aROQWvkJOQV6ufQlZ6qtiRFlAMkXGWfN2GfKsGRvWx3rJfLU5Q+Hj2AsPOHz3pSUknhjPzJjSAtTcPg==" saltValue="cl2z+SOOHa565WAQhJEhSg==" spinCount="100000" sheet="1" objects="1" scenarios="1"/>
  <mergeCells count="5">
    <mergeCell ref="I1:J1"/>
    <mergeCell ref="L1:M1"/>
    <mergeCell ref="B23:D23"/>
    <mergeCell ref="G23:K23"/>
    <mergeCell ref="L23:P23"/>
  </mergeCells>
  <conditionalFormatting sqref="H21">
    <cfRule type="cellIs" dxfId="1" priority="1" operator="equal">
      <formula>1</formula>
    </cfRule>
  </conditionalFormatting>
  <pageMargins left="0.7" right="0.7" top="0.75" bottom="0.75" header="0.3" footer="0.3"/>
  <pageSetup orientation="portrait" r:id="rId1"/>
  <ignoredErrors>
    <ignoredError sqref="E3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CA44B-8F72-4915-AD8A-0A4C50930873}">
  <sheetPr codeName="Sheet3"/>
  <dimension ref="A1:F28"/>
  <sheetViews>
    <sheetView zoomScale="110" zoomScaleNormal="110" workbookViewId="0">
      <selection activeCell="A16" sqref="A16"/>
    </sheetView>
  </sheetViews>
  <sheetFormatPr baseColWidth="10" defaultColWidth="8.83203125" defaultRowHeight="15" x14ac:dyDescent="0.2"/>
  <cols>
    <col min="1" max="1" width="45.5" customWidth="1"/>
    <col min="2" max="2" width="16.5" bestFit="1" customWidth="1"/>
    <col min="3" max="3" width="5.5" customWidth="1"/>
    <col min="4" max="4" width="2.5" customWidth="1"/>
    <col min="5" max="5" width="3" bestFit="1" customWidth="1"/>
    <col min="6" max="6" width="2.5" style="3" customWidth="1"/>
  </cols>
  <sheetData>
    <row r="1" spans="1:6" ht="49.25" customHeight="1" x14ac:dyDescent="0.25">
      <c r="A1" s="5" t="s">
        <v>235</v>
      </c>
      <c r="C1" s="44"/>
    </row>
    <row r="3" spans="1:6" s="4" customFormat="1" ht="16" x14ac:dyDescent="0.2">
      <c r="A3" s="15" t="s">
        <v>236</v>
      </c>
      <c r="B3" s="16">
        <f>'Counts for summary'!B2</f>
        <v>0</v>
      </c>
      <c r="F3" s="18"/>
    </row>
    <row r="5" spans="1:6" x14ac:dyDescent="0.2">
      <c r="A5" s="331" t="s">
        <v>237</v>
      </c>
      <c r="B5" s="331"/>
    </row>
    <row r="6" spans="1:6" ht="16" thickBot="1" x14ac:dyDescent="0.25">
      <c r="D6" s="252"/>
    </row>
    <row r="7" spans="1:6" ht="17" thickBot="1" x14ac:dyDescent="0.25">
      <c r="A7" s="9" t="s">
        <v>238</v>
      </c>
      <c r="B7" s="22" t="s">
        <v>239</v>
      </c>
      <c r="C7" s="21"/>
    </row>
    <row r="8" spans="1:6" ht="16" x14ac:dyDescent="0.2">
      <c r="A8" s="144" t="s">
        <v>240</v>
      </c>
      <c r="B8" s="148" t="e">
        <f>SUM('Component compliance'!C9,'Component compliance'!C11:C12,'Component compliance'!C13,'Component compliance'!C14,'Component compliance'!C15)/((COUNTA('Component compliance'!A9,'Component compliance'!A11,'Component compliance'!A12,'Component compliance'!A13,'Component compliance'!A14,'Component compliance'!A15)*B3)-(COUNTIFS('Raw data'!K:K,"1",'Raw data'!O:O, "") +(COUNTIFS('Raw data'!K:K,"1",'Raw data'!P:P,""))+(COUNTIFS('Raw data'!K:K,"1",'Raw data'!Q:Q,""))+(COUNTIFS('Raw data'!K:K,"1",'Raw data'!R:R,""))+(COUNTIFS('Raw data'!K:K,"1",'Raw data'!X:X,""))+(COUNTIFS('Raw data'!K:K,"1",'Raw data'!Y:Y,""))))</f>
        <v>#DIV/0!</v>
      </c>
      <c r="C8" s="291"/>
    </row>
    <row r="9" spans="1:6" ht="16" x14ac:dyDescent="0.2">
      <c r="A9" s="145" t="s">
        <v>241</v>
      </c>
      <c r="B9" s="149" t="e">
        <f>SUM('Component compliance'!C18)/((COUNTA('Component compliance'!A18)*B3)-COUNTIFS('Raw data'!K:K,"1",'Raw data'!O:O,""))</f>
        <v>#DIV/0!</v>
      </c>
      <c r="C9" s="292"/>
    </row>
    <row r="10" spans="1:6" ht="16" x14ac:dyDescent="0.2">
      <c r="A10" s="146" t="s">
        <v>242</v>
      </c>
      <c r="B10" s="149" t="e">
        <f>SUM('Component compliance'!C22:C23)/((COUNTA('Component compliance'!A22:A23)*B3)-((COUNTIFS('Raw data'!K:K,"1",'Raw data'!AE:AE,"")+(COUNTIFS('Raw data'!K:K,"1",'Raw data'!AG:AG,"")))))</f>
        <v>#DIV/0!</v>
      </c>
      <c r="C10" s="291"/>
    </row>
    <row r="11" spans="1:6" ht="16" x14ac:dyDescent="0.2">
      <c r="A11" s="145" t="s">
        <v>243</v>
      </c>
      <c r="B11" s="149" t="e">
        <f>SUM('Component compliance'!C26,'Component compliance'!C30)/((COUNTA('Component compliance'!A26,'Component compliance'!A30)*B3)-((COUNTIFS('Raw data'!K:K,"1",'Raw data'!AH:AH,"")+(COUNTIFS('Raw data'!K:K,"1",'Raw data'!AI:AI,"")+(COUNTIFS('Raw data'!K:K,"1",'Raw data'!AJ:AJ,"")+COUNTIFS('Raw data'!K:K,"1",'Raw data'!AK:AK,""))))))</f>
        <v>#DIV/0!</v>
      </c>
      <c r="C11" s="291"/>
    </row>
    <row r="12" spans="1:6" ht="16" x14ac:dyDescent="0.2">
      <c r="A12" s="145" t="s">
        <v>244</v>
      </c>
      <c r="B12" s="253" t="e">
        <f>SUM('Component compliance'!C33,'Component compliance'!C37,'Component compliance'!C41,'Component compliance'!C44,'Component compliance'!C45,'Component compliance'!C46)/((COUNTA('Component compliance'!A33,'Component compliance'!A37,'Component compliance'!A41,'Component compliance'!A44,'Component compliance'!A45,'Component compliance'!A46)*B3)-'Counts for summary'!I35-(COUNTIFS('Raw data'!K:K,"1",'Raw data'!AL:AL,"",'Raw data'!AM:AM,"",'Raw data'!AN:AN,"",'Raw data'!AO:AO,"",'Raw data'!AS:AS,"",'Raw data'!AW:AW,"",'Raw data'!AY:AY,"",'Raw data'!BA:BA,"")))</f>
        <v>#DIV/0!</v>
      </c>
      <c r="C12" s="291"/>
    </row>
    <row r="13" spans="1:6" ht="16" x14ac:dyDescent="0.2">
      <c r="A13" s="191" t="str">
        <f>'Component compliance'!A48</f>
        <v>PROCEDURE CHECKS</v>
      </c>
      <c r="B13" s="254" t="e">
        <f>SUM('Component compliance'!C49:C56,'Component compliance'!C63)/((COUNTA('Component compliance'!A49:A56,'Component compliance'!A63)*B3)-('Counts for summary'!I42)-('Counts for summary'!I51)-(COUNTIFS('Raw data'!K:K,"1",'Raw data'!BC:BC,"")+(COUNTIFS('Raw data'!K:K,"1",'Raw data'!BD:BD,"")+(COUNTIFS('Raw data'!K:K,"1",'Raw data'!BF:BF,"")+(COUNTIFS('Raw data'!K:K,"1",'Raw data'!BH:BH,"")+(COUNTIFS('Raw data'!K:K,"1",'Raw data'!BL:BL,"")+(COUNTIFS('Raw data'!K:K,"1",'Raw data'!BO:BO,"")+(COUNTIFS('Raw data'!K:K,"1",'Raw data'!BQ:BQ,"")+(COUNTIFS('Raw data'!K:K,"1",'Raw data'!BS:BS,"")+(COUNTIFS('Raw data'!K:K,"1",'Raw data'!BT:BT,"")+(COUNTIFS('Raw data'!K:K,"1",'Raw data'!BU:BU,"")+(COUNTIFS('Raw data'!K:K,"1",'Raw data'!BV:BV,"")+(COUNTIFS('Raw data'!K:K,"1",'Raw data'!BW:BW,"")+(COUNTIFS('Raw data'!K:K,"1",'Raw data'!BZ:BZ,"")))))))))))))))</f>
        <v>#DIV/0!</v>
      </c>
      <c r="C13" s="291"/>
    </row>
    <row r="14" spans="1:6" ht="17" thickBot="1" x14ac:dyDescent="0.25">
      <c r="A14" s="147" t="str">
        <f>'Component compliance'!A65</f>
        <v>POST-TRANSFUSION</v>
      </c>
      <c r="B14" s="255" t="e">
        <f>SUM('Component compliance'!C66,'Component compliance'!C70,'Component compliance'!C74,'Component compliance'!C75,'Component compliance'!C76,'Component compliance'!C77)/((COUNTA('Component compliance'!A66,'Component compliance'!A70,'Component compliance'!A74,'Component compliance'!A75,'Component compliance'!A76,'Component compliance'!A77)*B3)-('Counts for summary'!G56+'Counts for summary'!H58+'Counts for summary'!D110)-((COUNTIFS('Raw data'!K:K,"1",'Raw data'!CA:CA,"")+(COUNTIFS('Raw data'!K:K,"1",'Raw data'!CE:CE,"")+(COUNTIFS('Raw data'!K:K,"1",'Raw data'!CG:CG,"")+(COUNTIFS('Raw data'!K:K,"1",'Raw data'!CI:CI,"")+(COUNTIFS('Raw data'!K:K,"1",'Raw data'!CK:CK,"")+(COUNTIFS('Raw data'!K:K,"1",'Raw data'!CL:CL,"")+(COUNTIFS('Raw data'!K:K,"1",'Raw data'!CM:CM,"")+(COUNTIFS('Raw data'!K:K,"1",'Raw data'!CN:CN,"")+(COUNTIFS('Raw data'!K:K,"1",'Raw data'!CO:CO,""))))))))))))</f>
        <v>#DIV/0!</v>
      </c>
      <c r="C14" s="291"/>
    </row>
    <row r="21" spans="3:4" x14ac:dyDescent="0.2">
      <c r="C21" s="44"/>
    </row>
    <row r="22" spans="3:4" x14ac:dyDescent="0.2">
      <c r="C22" s="251"/>
    </row>
    <row r="28" spans="3:4" x14ac:dyDescent="0.2">
      <c r="D28" s="251"/>
    </row>
  </sheetData>
  <sheetProtection algorithmName="SHA-512" hashValue="vaKsmHK4T272MLH2nn/vls98xvSv+WWvAWP2gI0SZhltDsNFRciZfOqP8nXD6+VAw0nfQnwryCnuXXIW9U/xwg==" saltValue="PVo3RbPwWL6bWOrK2L4vsw==" spinCount="100000" sheet="1" objects="1" scenarios="1"/>
  <mergeCells count="1">
    <mergeCell ref="A5:B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51F48-F560-40F4-BCA1-2B412B252F9C}">
  <sheetPr codeName="Sheet4"/>
  <dimension ref="A1:G81"/>
  <sheetViews>
    <sheetView zoomScale="115" zoomScaleNormal="115" workbookViewId="0">
      <selection activeCell="A6" sqref="A6"/>
    </sheetView>
  </sheetViews>
  <sheetFormatPr baseColWidth="10" defaultColWidth="8.83203125" defaultRowHeight="15" x14ac:dyDescent="0.2"/>
  <cols>
    <col min="1" max="1" width="53.5" customWidth="1"/>
    <col min="2" max="2" width="19" bestFit="1" customWidth="1"/>
    <col min="3" max="3" width="24.5" customWidth="1"/>
    <col min="4" max="4" width="15.83203125" bestFit="1" customWidth="1"/>
    <col min="5" max="5" width="16.1640625" style="244" customWidth="1"/>
    <col min="6" max="6" width="68.5" bestFit="1" customWidth="1"/>
  </cols>
  <sheetData>
    <row r="1" spans="1:6" ht="75" customHeight="1" x14ac:dyDescent="0.2">
      <c r="A1" s="313" t="s">
        <v>245</v>
      </c>
      <c r="B1" s="314"/>
      <c r="C1" s="332" t="s">
        <v>246</v>
      </c>
      <c r="D1" s="332"/>
      <c r="E1" s="332"/>
    </row>
    <row r="2" spans="1:6" ht="16" x14ac:dyDescent="0.2">
      <c r="A2" s="8" t="s">
        <v>247</v>
      </c>
      <c r="B2" s="193">
        <f>'Counts for summary'!B1</f>
        <v>0</v>
      </c>
      <c r="C2" s="3"/>
    </row>
    <row r="3" spans="1:6" ht="16" x14ac:dyDescent="0.2">
      <c r="A3" s="8" t="s">
        <v>248</v>
      </c>
      <c r="B3" s="193">
        <f>'Counts for summary'!B2</f>
        <v>0</v>
      </c>
      <c r="C3" s="312"/>
      <c r="D3" s="311"/>
    </row>
    <row r="4" spans="1:6" ht="16" x14ac:dyDescent="0.2">
      <c r="A4" s="8" t="s">
        <v>249</v>
      </c>
      <c r="B4" s="193">
        <f>'Counts for summary'!D2</f>
        <v>0</v>
      </c>
      <c r="C4" s="312"/>
    </row>
    <row r="5" spans="1:6" ht="16" x14ac:dyDescent="0.2">
      <c r="A5" s="8"/>
      <c r="B5" s="16"/>
      <c r="C5" s="3"/>
    </row>
    <row r="6" spans="1:6" ht="16" thickBot="1" x14ac:dyDescent="0.25">
      <c r="A6" s="2"/>
      <c r="B6" s="3"/>
      <c r="C6" s="3"/>
    </row>
    <row r="7" spans="1:6" ht="36.5" customHeight="1" thickBot="1" x14ac:dyDescent="0.25">
      <c r="A7" s="6" t="s">
        <v>250</v>
      </c>
      <c r="B7" s="125" t="s">
        <v>251</v>
      </c>
      <c r="C7" s="33" t="s">
        <v>252</v>
      </c>
      <c r="D7" s="14" t="s">
        <v>239</v>
      </c>
    </row>
    <row r="8" spans="1:6" x14ac:dyDescent="0.2">
      <c r="A8" s="256" t="s">
        <v>240</v>
      </c>
      <c r="B8" s="117"/>
      <c r="C8" s="126"/>
      <c r="D8" s="127"/>
    </row>
    <row r="9" spans="1:6" x14ac:dyDescent="0.2">
      <c r="A9" s="257" t="s">
        <v>253</v>
      </c>
      <c r="B9" s="128"/>
      <c r="C9" s="151">
        <f>'Counts for summary'!J25</f>
        <v>0</v>
      </c>
      <c r="D9" s="152" t="e">
        <f>C9/(B3-(COUNTIFS('Raw data'!K:K,"1",'Raw data'!O:O,"")))</f>
        <v>#DIV/0!</v>
      </c>
    </row>
    <row r="10" spans="1:6" x14ac:dyDescent="0.2">
      <c r="A10" s="258" t="s">
        <v>254</v>
      </c>
      <c r="B10" s="118"/>
      <c r="C10" s="151">
        <f>'Counts for summary'!D68</f>
        <v>0</v>
      </c>
      <c r="D10" s="152" t="e">
        <f>C10/(B3-(COUNTIFS('Raw data'!K:K,"1",'Raw data'!P:P,"")+COUNTIFS('Raw data'!K:K,"1",'Raw data'!Q:Q,"")+(COUNTIFS('Raw data'!K:K,"1",'Raw data'!R:R,""))))</f>
        <v>#DIV/0!</v>
      </c>
      <c r="E10" s="315" t="s">
        <v>255</v>
      </c>
    </row>
    <row r="11" spans="1:6" x14ac:dyDescent="0.2">
      <c r="A11" s="259" t="s">
        <v>256</v>
      </c>
      <c r="B11" s="150"/>
      <c r="C11" s="151">
        <f>'Counts for summary'!D69</f>
        <v>0</v>
      </c>
      <c r="D11" s="152" t="e">
        <f>C11/(B3-(COUNTIFS('Raw data'!K:K,"1",'Raw data'!P:P,"")))</f>
        <v>#DIV/0!</v>
      </c>
    </row>
    <row r="12" spans="1:6" x14ac:dyDescent="0.2">
      <c r="A12" s="259" t="s">
        <v>257</v>
      </c>
      <c r="B12" s="150"/>
      <c r="C12" s="151">
        <f>'Counts for summary'!D70</f>
        <v>0</v>
      </c>
      <c r="D12" s="152" t="e">
        <f>C12/(B3-(COUNTIFS('Raw data'!K:K,"1",'Raw data'!Q:Q,"")))</f>
        <v>#DIV/0!</v>
      </c>
    </row>
    <row r="13" spans="1:6" ht="54" customHeight="1" x14ac:dyDescent="0.2">
      <c r="A13" s="260" t="s">
        <v>258</v>
      </c>
      <c r="B13" s="153"/>
      <c r="C13" s="151">
        <f>'Counts for summary'!D71</f>
        <v>0</v>
      </c>
      <c r="D13" s="152" t="e">
        <f>C13/(B3-(COUNTIFS('Raw data'!K:K,"1",'Raw data'!R:R,"")))</f>
        <v>#DIV/0!</v>
      </c>
      <c r="F13" s="43"/>
    </row>
    <row r="14" spans="1:6" ht="16" x14ac:dyDescent="0.2">
      <c r="A14" s="79" t="s">
        <v>259</v>
      </c>
      <c r="B14" s="129"/>
      <c r="C14" s="151">
        <f>'Counts for summary'!J26</f>
        <v>0</v>
      </c>
      <c r="D14" s="152" t="e">
        <f>C14/(B3-(COUNTIFS('Raw data'!K:K,"1",'Raw data'!X:X,"")))</f>
        <v>#DIV/0!</v>
      </c>
    </row>
    <row r="15" spans="1:6" ht="33" thickBot="1" x14ac:dyDescent="0.25">
      <c r="A15" s="261" t="s">
        <v>260</v>
      </c>
      <c r="B15" s="130"/>
      <c r="C15" s="154">
        <f>'Counts for summary'!J27</f>
        <v>0</v>
      </c>
      <c r="D15" s="116" t="e">
        <f>C15/(B3-(COUNTIFS('Raw data'!K:K,"1",'Raw data'!Y:Y,"")))</f>
        <v>#DIV/0!</v>
      </c>
    </row>
    <row r="16" spans="1:6" ht="16" thickBot="1" x14ac:dyDescent="0.25">
      <c r="A16" s="30"/>
      <c r="B16" s="30"/>
      <c r="C16" s="3"/>
      <c r="D16" s="37"/>
    </row>
    <row r="17" spans="1:7" x14ac:dyDescent="0.2">
      <c r="A17" s="49" t="s">
        <v>241</v>
      </c>
      <c r="B17" s="132"/>
      <c r="C17" s="133" t="s">
        <v>252</v>
      </c>
      <c r="D17" s="134" t="s">
        <v>239</v>
      </c>
    </row>
    <row r="18" spans="1:7" ht="48" x14ac:dyDescent="0.2">
      <c r="A18" s="77" t="s">
        <v>261</v>
      </c>
      <c r="B18" s="135"/>
      <c r="C18" s="151">
        <f>'Counts for summary'!J29</f>
        <v>0</v>
      </c>
      <c r="D18" s="152" t="e">
        <f>C18/(B3-(COUNTIFS('Raw data'!K:K,"1",'Raw data'!AA:AA,"")))</f>
        <v>#DIV/0!</v>
      </c>
    </row>
    <row r="19" spans="1:7" ht="17" thickBot="1" x14ac:dyDescent="0.25">
      <c r="A19" s="262" t="s">
        <v>262</v>
      </c>
      <c r="B19" s="190">
        <f>COUNT('Raw data'!AC:AC)</f>
        <v>0</v>
      </c>
      <c r="C19" s="238"/>
      <c r="D19" s="239"/>
    </row>
    <row r="20" spans="1:7" ht="16" thickBot="1" x14ac:dyDescent="0.25">
      <c r="A20" s="263"/>
      <c r="B20" s="189"/>
      <c r="C20" s="34"/>
      <c r="D20" s="35"/>
    </row>
    <row r="21" spans="1:7" ht="16" x14ac:dyDescent="0.2">
      <c r="A21" s="49" t="s">
        <v>242</v>
      </c>
      <c r="B21" s="136"/>
      <c r="C21" s="133" t="s">
        <v>252</v>
      </c>
      <c r="D21" s="134" t="s">
        <v>239</v>
      </c>
      <c r="E21" s="245"/>
      <c r="F21" s="18"/>
      <c r="G21" s="19"/>
    </row>
    <row r="22" spans="1:7" ht="32" x14ac:dyDescent="0.2">
      <c r="A22" s="77" t="s">
        <v>263</v>
      </c>
      <c r="B22" s="137"/>
      <c r="C22" s="151">
        <f>'Counts for summary'!J31</f>
        <v>0</v>
      </c>
      <c r="D22" s="152" t="e">
        <f>C22/(B3-(COUNTIFS('Raw data'!K:K,"1",'Raw data'!AE:AE,"")))</f>
        <v>#DIV/0!</v>
      </c>
    </row>
    <row r="23" spans="1:7" ht="35" customHeight="1" thickBot="1" x14ac:dyDescent="0.25">
      <c r="A23" s="262" t="s">
        <v>264</v>
      </c>
      <c r="B23" s="138"/>
      <c r="C23" s="155">
        <f>'Counts for summary'!J33</f>
        <v>0</v>
      </c>
      <c r="D23" s="156" t="e">
        <f>C23/(B3-(COUNTIFS('Raw data'!K:K,"1",'Raw data'!AG:AG,"")))</f>
        <v>#DIV/0!</v>
      </c>
    </row>
    <row r="24" spans="1:7" ht="41" customHeight="1" x14ac:dyDescent="0.2">
      <c r="A24" s="36"/>
      <c r="B24" s="36"/>
      <c r="C24" s="31"/>
      <c r="D24" s="32"/>
    </row>
    <row r="25" spans="1:7" ht="16" x14ac:dyDescent="0.2">
      <c r="A25" s="264" t="s">
        <v>243</v>
      </c>
      <c r="B25" s="139"/>
      <c r="C25" s="140" t="s">
        <v>252</v>
      </c>
      <c r="D25" s="141" t="s">
        <v>239</v>
      </c>
      <c r="E25" s="245"/>
      <c r="F25" s="18"/>
      <c r="G25" s="19"/>
    </row>
    <row r="26" spans="1:7" ht="80" x14ac:dyDescent="0.2">
      <c r="A26" s="265" t="s">
        <v>265</v>
      </c>
      <c r="B26" s="135"/>
      <c r="C26" s="229">
        <f>'Counts for summary'!D80</f>
        <v>0</v>
      </c>
      <c r="D26" s="247" t="e">
        <f>C26/(B3-(COUNTIFS('Raw data'!K:K,"1",'Raw data'!AH:AH,"")+(COUNTIFS('Raw data'!K:K,"1",'Raw data'!AI:AI,"")+(COUNTIFS('Raw data'!K:K,"1",'Raw data'!AJ:AJ,"")))))</f>
        <v>#DIV/0!</v>
      </c>
      <c r="E26" s="315" t="s">
        <v>255</v>
      </c>
    </row>
    <row r="27" spans="1:7" ht="16" x14ac:dyDescent="0.2">
      <c r="A27" s="266" t="s">
        <v>266</v>
      </c>
      <c r="B27" s="224">
        <f>'Counts for summary'!D81</f>
        <v>0</v>
      </c>
      <c r="C27" s="227"/>
      <c r="D27" s="228"/>
    </row>
    <row r="28" spans="1:7" ht="16" x14ac:dyDescent="0.2">
      <c r="A28" s="266" t="s">
        <v>267</v>
      </c>
      <c r="B28" s="224">
        <f>'Counts for summary'!D82</f>
        <v>0</v>
      </c>
      <c r="C28" s="227"/>
      <c r="D28" s="228"/>
    </row>
    <row r="29" spans="1:7" ht="16" x14ac:dyDescent="0.2">
      <c r="A29" s="266" t="s">
        <v>268</v>
      </c>
      <c r="B29" s="224">
        <f>'Counts for summary'!D83</f>
        <v>0</v>
      </c>
      <c r="C29" s="227"/>
      <c r="D29" s="228"/>
    </row>
    <row r="30" spans="1:7" ht="33" thickBot="1" x14ac:dyDescent="0.25">
      <c r="A30" s="265" t="s">
        <v>269</v>
      </c>
      <c r="B30" s="142"/>
      <c r="C30" s="225">
        <f>'Counts for summary'!J34</f>
        <v>0</v>
      </c>
      <c r="D30" s="226" t="e">
        <f>C30/(B3-(COUNTIFS('Raw data'!K:K,"1",'Raw data'!AK:AK,"")))</f>
        <v>#DIV/0!</v>
      </c>
    </row>
    <row r="32" spans="1:7" x14ac:dyDescent="0.2">
      <c r="A32" s="264" t="s">
        <v>244</v>
      </c>
      <c r="B32" s="139"/>
      <c r="C32" s="140" t="s">
        <v>252</v>
      </c>
      <c r="D32" s="141" t="s">
        <v>239</v>
      </c>
    </row>
    <row r="33" spans="1:5" ht="96" x14ac:dyDescent="0.2">
      <c r="A33" s="265" t="s">
        <v>270</v>
      </c>
      <c r="B33" s="135"/>
      <c r="C33" s="230">
        <f>'Counts for summary'!D85</f>
        <v>0</v>
      </c>
      <c r="D33" s="248" t="e">
        <f>C33/(B3-(COUNTIFS('Raw data'!K:K,"1",'Raw data'!AL:AL,"")+(COUNTIFS('Raw data'!K:K,"1",'Raw data'!AM:AM,"")+(COUNTIFS('Raw data'!K:K,"1",'Raw data'!AN:AN,"")))))</f>
        <v>#DIV/0!</v>
      </c>
      <c r="E33" s="315" t="s">
        <v>255</v>
      </c>
    </row>
    <row r="34" spans="1:5" ht="32" x14ac:dyDescent="0.2">
      <c r="A34" s="266" t="s">
        <v>271</v>
      </c>
      <c r="B34" s="157">
        <f>'Counts for summary'!D86</f>
        <v>0</v>
      </c>
      <c r="C34" s="240"/>
      <c r="D34" s="241"/>
    </row>
    <row r="35" spans="1:5" ht="30.5" customHeight="1" x14ac:dyDescent="0.2">
      <c r="A35" s="267" t="s">
        <v>272</v>
      </c>
      <c r="B35" s="157">
        <f>'Counts for summary'!D87</f>
        <v>0</v>
      </c>
      <c r="C35" s="240"/>
      <c r="D35" s="241"/>
    </row>
    <row r="36" spans="1:5" ht="16" x14ac:dyDescent="0.2">
      <c r="A36" s="266" t="s">
        <v>268</v>
      </c>
      <c r="B36" s="157">
        <f>'Counts for summary'!D88</f>
        <v>0</v>
      </c>
      <c r="C36" s="240"/>
      <c r="D36" s="241"/>
    </row>
    <row r="37" spans="1:5" ht="61.25" customHeight="1" x14ac:dyDescent="0.2">
      <c r="A37" s="273" t="s">
        <v>273</v>
      </c>
      <c r="B37" s="135"/>
      <c r="C37" s="151">
        <f>SUM('Counts for summary'!J35)</f>
        <v>0</v>
      </c>
      <c r="D37" s="109" t="e">
        <f>C37/(B3-'Counts for summary'!I35-(COUNTIFS('Raw data'!K:K,"1",'Raw data'!AO:AO,"")))</f>
        <v>#DIV/0!</v>
      </c>
    </row>
    <row r="38" spans="1:5" ht="16" x14ac:dyDescent="0.2">
      <c r="A38" s="266" t="s">
        <v>274</v>
      </c>
      <c r="B38" s="183">
        <f>'Counts for summary'!I35</f>
        <v>0</v>
      </c>
      <c r="C38" s="184"/>
      <c r="D38" s="185"/>
    </row>
    <row r="39" spans="1:5" ht="16" x14ac:dyDescent="0.2">
      <c r="A39" s="266" t="s">
        <v>275</v>
      </c>
      <c r="B39" s="183">
        <f>'Counts for summary'!J35</f>
        <v>0</v>
      </c>
      <c r="C39" s="184"/>
      <c r="D39" s="185"/>
    </row>
    <row r="40" spans="1:5" ht="16" x14ac:dyDescent="0.2">
      <c r="A40" s="266" t="s">
        <v>276</v>
      </c>
      <c r="B40" s="183">
        <f>'Counts for summary'!K35</f>
        <v>0</v>
      </c>
      <c r="C40" s="184"/>
      <c r="D40" s="185"/>
    </row>
    <row r="41" spans="1:5" ht="48" x14ac:dyDescent="0.2">
      <c r="A41" s="265" t="s">
        <v>277</v>
      </c>
      <c r="B41" s="135"/>
      <c r="C41" s="151">
        <f>'Counts for summary'!D90</f>
        <v>0</v>
      </c>
      <c r="D41" s="109" t="e">
        <f>C41/(B3-(COUNTIFS('Raw data'!K:K,"1",'Raw data'!AR:AR,"")+(COUNTIFS('Raw data'!K:K,"1",'Raw data'!AS:AS,""))))</f>
        <v>#DIV/0!</v>
      </c>
      <c r="E41" s="315" t="s">
        <v>278</v>
      </c>
    </row>
    <row r="42" spans="1:5" ht="16" x14ac:dyDescent="0.2">
      <c r="A42" s="266" t="s">
        <v>279</v>
      </c>
      <c r="B42" s="183">
        <f>'Counts for summary'!D91</f>
        <v>0</v>
      </c>
      <c r="C42" s="322"/>
      <c r="D42" s="307"/>
    </row>
    <row r="43" spans="1:5" ht="16" x14ac:dyDescent="0.2">
      <c r="A43" s="266" t="s">
        <v>280</v>
      </c>
      <c r="B43" s="183">
        <f>'Counts for summary'!D92</f>
        <v>0</v>
      </c>
      <c r="C43" s="322"/>
      <c r="D43" s="307"/>
    </row>
    <row r="44" spans="1:5" ht="32" x14ac:dyDescent="0.2">
      <c r="A44" s="268" t="s">
        <v>281</v>
      </c>
      <c r="B44" s="129"/>
      <c r="C44" s="151">
        <f>'Counts for summary'!J36</f>
        <v>0</v>
      </c>
      <c r="D44" s="111" t="e">
        <f>C44/(B3-(COUNTIFS('Raw data'!K:K,"1",'Raw data'!AW:AW,"")))</f>
        <v>#DIV/0!</v>
      </c>
    </row>
    <row r="45" spans="1:5" ht="32" x14ac:dyDescent="0.2">
      <c r="A45" s="268" t="s">
        <v>282</v>
      </c>
      <c r="B45" s="129"/>
      <c r="C45" s="151">
        <f>'Counts for summary'!J38</f>
        <v>0</v>
      </c>
      <c r="D45" s="109" t="e">
        <f>C45/(B3-(COUNTIFS('Raw data'!K:K,"1",'Raw data'!AY:AY,"")))</f>
        <v>#DIV/0!</v>
      </c>
    </row>
    <row r="46" spans="1:5" ht="33" thickBot="1" x14ac:dyDescent="0.25">
      <c r="A46" s="268" t="s">
        <v>283</v>
      </c>
      <c r="B46" s="130"/>
      <c r="C46" s="154">
        <f>'Counts for summary'!J40</f>
        <v>0</v>
      </c>
      <c r="D46" s="112" t="e">
        <f>C46/(B3-(COUNTIFS('Raw data'!K:K,"1",'Raw data'!BA:BA,"")))</f>
        <v>#DIV/0!</v>
      </c>
    </row>
    <row r="48" spans="1:5" x14ac:dyDescent="0.2">
      <c r="A48" s="264" t="s">
        <v>284</v>
      </c>
      <c r="B48" s="139"/>
      <c r="C48" s="140" t="s">
        <v>252</v>
      </c>
      <c r="D48" s="141" t="s">
        <v>239</v>
      </c>
    </row>
    <row r="49" spans="1:5" ht="32" x14ac:dyDescent="0.2">
      <c r="A49" s="265" t="s">
        <v>285</v>
      </c>
      <c r="B49" s="135"/>
      <c r="C49" s="151">
        <f>'Counts for summary'!J42</f>
        <v>0</v>
      </c>
      <c r="D49" s="109" t="e">
        <f>C49/((B3-'Counts for summary'!I42)-(COUNTIFS('Raw data'!K:K,"1",'Raw data'!BC:BC,"")))</f>
        <v>#DIV/0!</v>
      </c>
    </row>
    <row r="50" spans="1:5" ht="16" x14ac:dyDescent="0.2">
      <c r="A50" s="265" t="s">
        <v>286</v>
      </c>
      <c r="B50" s="135"/>
      <c r="C50" s="151">
        <f>'Counts for summary'!J43</f>
        <v>0</v>
      </c>
      <c r="D50" s="111" t="e">
        <f>C50/(B3-(COUNTIFS('Raw data'!K:K,"1",'Raw data'!BD:BD,"")))</f>
        <v>#DIV/0!</v>
      </c>
    </row>
    <row r="51" spans="1:5" x14ac:dyDescent="0.2">
      <c r="A51" s="269" t="s">
        <v>287</v>
      </c>
      <c r="B51" s="118"/>
      <c r="C51" s="151">
        <f>'Counts for summary'!J45</f>
        <v>0</v>
      </c>
      <c r="D51" s="111" t="e">
        <f>C51/(B3-(COUNTIFS('Raw data'!K:K,"1",'Raw data'!BF:BF,"")))</f>
        <v>#DIV/0!</v>
      </c>
    </row>
    <row r="52" spans="1:5" x14ac:dyDescent="0.2">
      <c r="A52" s="269" t="s">
        <v>288</v>
      </c>
      <c r="B52" s="118"/>
      <c r="C52" s="151">
        <f>'Counts for summary'!J47</f>
        <v>0</v>
      </c>
      <c r="D52" s="109" t="e">
        <f>C52/(B3-(COUNTIFS('Raw data'!K:K,"1",'Raw data'!BH:BH,"")))</f>
        <v>#DIV/0!</v>
      </c>
    </row>
    <row r="53" spans="1:5" ht="16" x14ac:dyDescent="0.2">
      <c r="A53" s="268" t="s">
        <v>289</v>
      </c>
      <c r="B53" s="129"/>
      <c r="C53" s="151">
        <f>'Counts for summary'!J49</f>
        <v>0</v>
      </c>
      <c r="D53" s="111" t="e">
        <f>C53/(B3-(COUNTIFS('Raw data'!K:K,"1",'Raw data'!BL:BL,"")))</f>
        <v>#DIV/0!</v>
      </c>
    </row>
    <row r="54" spans="1:5" ht="48" x14ac:dyDescent="0.2">
      <c r="A54" s="268" t="s">
        <v>290</v>
      </c>
      <c r="B54" s="129"/>
      <c r="C54" s="151">
        <f>'Counts for summary'!J51</f>
        <v>0</v>
      </c>
      <c r="D54" s="109" t="e">
        <f>C54/((B3-'Counts for summary'!I51))-(COUNTIFS('Raw data'!K:K,"1",'Raw data'!BO:BO,""))</f>
        <v>#DIV/0!</v>
      </c>
      <c r="E54" s="246"/>
    </row>
    <row r="55" spans="1:5" ht="16" x14ac:dyDescent="0.2">
      <c r="A55" s="268" t="s">
        <v>291</v>
      </c>
      <c r="B55" s="129"/>
      <c r="C55" s="151">
        <f>'Counts for summary'!J53</f>
        <v>0</v>
      </c>
      <c r="D55" s="109" t="e">
        <f>C55/(B3-(COUNTIFS('Raw data'!K:K,"1",'Raw data'!BQ:BQ,"")))</f>
        <v>#DIV/0!</v>
      </c>
    </row>
    <row r="56" spans="1:5" ht="48" x14ac:dyDescent="0.2">
      <c r="A56" s="268" t="s">
        <v>292</v>
      </c>
      <c r="B56" s="129"/>
      <c r="C56" s="151">
        <f>'Counts for summary'!D98</f>
        <v>0</v>
      </c>
      <c r="D56" s="249" t="e">
        <f>C56/(B3-(COUNTIFS('Raw data'!K:K,"1",'Raw data'!BS:BS,"")+(COUNTIFS('Raw data'!K:K,"1",'Raw data'!BT:BT,"")+(COUNTIFS('Raw data'!K:K,"1",'Raw data'!BU:BU,"")+(COUNTIFS('Raw data'!K:K,"1",'Raw data'!BV:BV,"")+(COUNTIFS('Raw data'!K:K,"1",'Raw data'!BW:BW,"")))))))</f>
        <v>#DIV/0!</v>
      </c>
      <c r="E56" s="316" t="s">
        <v>293</v>
      </c>
    </row>
    <row r="57" spans="1:5" ht="16" x14ac:dyDescent="0.2">
      <c r="A57" s="270" t="s">
        <v>294</v>
      </c>
      <c r="B57" s="183">
        <f>'Counts for summary'!D99</f>
        <v>0</v>
      </c>
      <c r="C57" s="308"/>
      <c r="D57" s="309" t="e">
        <f>B57/B3</f>
        <v>#DIV/0!</v>
      </c>
    </row>
    <row r="58" spans="1:5" ht="16" x14ac:dyDescent="0.2">
      <c r="A58" s="270" t="s">
        <v>295</v>
      </c>
      <c r="B58" s="183">
        <f>'Counts for summary'!D100</f>
        <v>0</v>
      </c>
      <c r="C58" s="308"/>
      <c r="D58" s="309" t="e">
        <f>B58/B3</f>
        <v>#DIV/0!</v>
      </c>
    </row>
    <row r="59" spans="1:5" ht="16" x14ac:dyDescent="0.2">
      <c r="A59" s="270" t="s">
        <v>296</v>
      </c>
      <c r="B59" s="183">
        <f>'Counts for summary'!D101</f>
        <v>0</v>
      </c>
      <c r="C59" s="308"/>
      <c r="D59" s="309" t="e">
        <f>B59/B3</f>
        <v>#DIV/0!</v>
      </c>
    </row>
    <row r="60" spans="1:5" ht="16" x14ac:dyDescent="0.2">
      <c r="A60" s="270" t="s">
        <v>297</v>
      </c>
      <c r="B60" s="183">
        <f>'Counts for summary'!D102</f>
        <v>0</v>
      </c>
      <c r="C60" s="308"/>
      <c r="D60" s="309" t="e">
        <f>B60/B3</f>
        <v>#DIV/0!</v>
      </c>
    </row>
    <row r="61" spans="1:5" x14ac:dyDescent="0.2">
      <c r="A61" s="271" t="s">
        <v>298</v>
      </c>
      <c r="B61" s="98">
        <f>'Counts for summary'!D103</f>
        <v>0</v>
      </c>
      <c r="C61" s="308"/>
      <c r="D61" s="309" t="e">
        <f>B61/B3</f>
        <v>#DIV/0!</v>
      </c>
      <c r="E61" s="246"/>
    </row>
    <row r="62" spans="1:5" ht="16" x14ac:dyDescent="0.2">
      <c r="A62" s="270" t="s">
        <v>299</v>
      </c>
      <c r="B62" s="151">
        <f>'Counts for summary'!D104</f>
        <v>0</v>
      </c>
      <c r="C62" s="308"/>
      <c r="D62" s="309"/>
    </row>
    <row r="63" spans="1:5" ht="33" thickBot="1" x14ac:dyDescent="0.25">
      <c r="A63" s="265" t="s">
        <v>300</v>
      </c>
      <c r="B63" s="142"/>
      <c r="C63" s="131">
        <f>'Counts for summary'!J55</f>
        <v>0</v>
      </c>
      <c r="D63" s="101" t="e">
        <f>C63/(B3-(COUNTIFS('Raw data'!K:K,"1",'Raw data'!BZ:BZ,"")))</f>
        <v>#DIV/0!</v>
      </c>
    </row>
    <row r="65" spans="1:5" x14ac:dyDescent="0.2">
      <c r="A65" s="264" t="s">
        <v>301</v>
      </c>
      <c r="B65" s="143"/>
      <c r="C65" s="140" t="s">
        <v>252</v>
      </c>
      <c r="D65" s="141" t="s">
        <v>239</v>
      </c>
    </row>
    <row r="66" spans="1:5" x14ac:dyDescent="0.2">
      <c r="A66" s="269" t="s">
        <v>302</v>
      </c>
      <c r="B66" s="118"/>
      <c r="C66" s="151">
        <f>'Counts for summary'!J56</f>
        <v>0</v>
      </c>
      <c r="D66" s="111" t="e">
        <f>C66/(B3-'Counts for summary'!G56-(COUNTIFS('Raw data'!K:K,"1",'Raw data'!CA:CA,"")))</f>
        <v>#DIV/0!</v>
      </c>
      <c r="E66" s="246"/>
    </row>
    <row r="67" spans="1:5" x14ac:dyDescent="0.2">
      <c r="A67" s="271" t="s">
        <v>275</v>
      </c>
      <c r="B67" s="98">
        <f>'Counts for summary'!J56</f>
        <v>0</v>
      </c>
      <c r="C67" s="184"/>
      <c r="D67" s="185"/>
    </row>
    <row r="68" spans="1:5" x14ac:dyDescent="0.2">
      <c r="A68" s="271" t="s">
        <v>276</v>
      </c>
      <c r="B68" s="98">
        <f>'Counts for summary'!K56</f>
        <v>0</v>
      </c>
      <c r="C68" s="184"/>
      <c r="D68" s="185"/>
    </row>
    <row r="69" spans="1:5" x14ac:dyDescent="0.2">
      <c r="A69" s="271" t="s">
        <v>303</v>
      </c>
      <c r="B69" s="98">
        <f>'Counts for summary'!G56</f>
        <v>0</v>
      </c>
      <c r="C69" s="184"/>
      <c r="D69" s="185"/>
    </row>
    <row r="70" spans="1:5" ht="32" x14ac:dyDescent="0.2">
      <c r="A70" s="268" t="s">
        <v>304</v>
      </c>
      <c r="B70" s="129"/>
      <c r="C70" s="151">
        <f>'Counts for summary'!J58</f>
        <v>0</v>
      </c>
      <c r="D70" s="250" t="e">
        <f>C70/((B3-B73)-(COUNTIFS('Raw data'!K:K,"1",'Raw data'!CE:CE,"")))</f>
        <v>#DIV/0!</v>
      </c>
    </row>
    <row r="71" spans="1:5" ht="16" x14ac:dyDescent="0.2">
      <c r="A71" s="270" t="s">
        <v>275</v>
      </c>
      <c r="B71" s="183">
        <f>'Counts for summary'!J58</f>
        <v>0</v>
      </c>
      <c r="C71" s="184"/>
      <c r="D71" s="185"/>
    </row>
    <row r="72" spans="1:5" ht="16" x14ac:dyDescent="0.2">
      <c r="A72" s="270" t="s">
        <v>276</v>
      </c>
      <c r="B72" s="183">
        <f>'Counts for summary'!K58</f>
        <v>0</v>
      </c>
      <c r="C72" s="184"/>
      <c r="D72" s="185"/>
    </row>
    <row r="73" spans="1:5" ht="16" x14ac:dyDescent="0.2">
      <c r="A73" s="270" t="s">
        <v>305</v>
      </c>
      <c r="B73" s="183">
        <f>'Counts for summary'!H58</f>
        <v>0</v>
      </c>
      <c r="C73" s="184"/>
      <c r="D73" s="185"/>
    </row>
    <row r="74" spans="1:5" x14ac:dyDescent="0.2">
      <c r="A74" s="269" t="s">
        <v>306</v>
      </c>
      <c r="B74" s="118"/>
      <c r="C74" s="151">
        <f>'Counts for summary'!J60</f>
        <v>0</v>
      </c>
      <c r="D74" s="111" t="e">
        <f>C74/(B3-(COUNTIFS('Raw data'!K:K,"1",'Raw data'!CG:CG,"")))</f>
        <v>#DIV/0!</v>
      </c>
    </row>
    <row r="75" spans="1:5" ht="32" x14ac:dyDescent="0.2">
      <c r="A75" s="268" t="s">
        <v>307</v>
      </c>
      <c r="B75" s="129"/>
      <c r="C75" s="151">
        <f>'Counts for summary'!J62</f>
        <v>0</v>
      </c>
      <c r="D75" s="111" t="e">
        <f>C75/(B3-(COUNTIFS('Raw data'!K:K,"1",'Raw data'!CI:CI,"")))</f>
        <v>#DIV/0!</v>
      </c>
    </row>
    <row r="76" spans="1:5" ht="32" x14ac:dyDescent="0.2">
      <c r="A76" s="268" t="s">
        <v>308</v>
      </c>
      <c r="B76" s="129"/>
      <c r="C76" s="151">
        <f>'Counts for summary'!J64</f>
        <v>0</v>
      </c>
      <c r="D76" s="111" t="e">
        <f>(C76/(B3-(COUNTIFS('Raw data'!K:K,"1",'Raw data'!CK:CK,""))))</f>
        <v>#DIV/0!</v>
      </c>
    </row>
    <row r="77" spans="1:5" ht="64" x14ac:dyDescent="0.2">
      <c r="A77" s="268" t="s">
        <v>309</v>
      </c>
      <c r="B77" s="118"/>
      <c r="C77" s="151">
        <f>'Counts for summary'!D106</f>
        <v>0</v>
      </c>
      <c r="D77" s="109" t="e">
        <f>C77/((B3-B81)-(COUNTIFS('Raw data'!K:K,"1",'Raw data'!CL:CL,"")+(COUNTIFS('Raw data'!K:K,"1",'Raw data'!CM:CM,"")+(COUNTIFS('Raw data'!K:K,"1",'Raw data'!CN:CN,"")+(COUNTIFS('Raw data'!K:K,"1",'Raw data'!CO:CO,""))))))</f>
        <v>#DIV/0!</v>
      </c>
      <c r="E77" s="316" t="s">
        <v>255</v>
      </c>
    </row>
    <row r="78" spans="1:5" x14ac:dyDescent="0.2">
      <c r="A78" s="272" t="s">
        <v>310</v>
      </c>
      <c r="B78" s="98">
        <f>'Counts for summary'!D107</f>
        <v>0</v>
      </c>
      <c r="C78" s="184"/>
      <c r="D78" s="309" t="e">
        <f>B78/B3</f>
        <v>#DIV/0!</v>
      </c>
    </row>
    <row r="79" spans="1:5" x14ac:dyDescent="0.2">
      <c r="A79" s="272" t="s">
        <v>311</v>
      </c>
      <c r="B79" s="98">
        <f>'Counts for summary'!D108</f>
        <v>0</v>
      </c>
      <c r="C79" s="184"/>
      <c r="D79" s="309" t="e">
        <f>B79/B3</f>
        <v>#DIV/0!</v>
      </c>
    </row>
    <row r="80" spans="1:5" x14ac:dyDescent="0.2">
      <c r="A80" s="272" t="s">
        <v>312</v>
      </c>
      <c r="B80" s="98">
        <f>'Counts for summary'!D109</f>
        <v>0</v>
      </c>
      <c r="C80" s="184"/>
      <c r="D80" s="309" t="e">
        <f>B80/B3</f>
        <v>#DIV/0!</v>
      </c>
    </row>
    <row r="81" spans="1:4" ht="16" thickBot="1" x14ac:dyDescent="0.25">
      <c r="A81" s="272" t="s">
        <v>313</v>
      </c>
      <c r="B81" s="186">
        <f>'Counts for summary'!D110</f>
        <v>0</v>
      </c>
      <c r="C81" s="187"/>
      <c r="D81" s="310"/>
    </row>
  </sheetData>
  <sheetProtection algorithmName="SHA-512" hashValue="FSGqGSXx6ohCaWDa3hcDusbvnmw/k11DAhLTh+NEBH/55nEzSPMZHpvtFNlytjCZiM8b5J/SjqnaOlYpk3Hx7Q==" saltValue="1PkglsG5RtAEomsOtGfQQw==" spinCount="100000" sheet="1" objects="1" scenarios="1"/>
  <mergeCells count="1">
    <mergeCell ref="C1:E1"/>
  </mergeCells>
  <conditionalFormatting sqref="B19">
    <cfRule type="cellIs" dxfId="0" priority="1" operator="lessThan">
      <formula>$B$3</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CD64-1316-4AF2-82B6-48026FB39822}">
  <sheetPr codeName="Sheet5"/>
  <dimension ref="A1:Y100"/>
  <sheetViews>
    <sheetView zoomScale="110" zoomScaleNormal="110" workbookViewId="0">
      <selection activeCell="A5" sqref="A5"/>
    </sheetView>
  </sheetViews>
  <sheetFormatPr baseColWidth="10" defaultColWidth="8.83203125" defaultRowHeight="15" x14ac:dyDescent="0.2"/>
  <cols>
    <col min="1" max="1" width="53" style="2" bestFit="1" customWidth="1"/>
    <col min="2" max="3" width="17.5" style="3" customWidth="1"/>
    <col min="4" max="4" width="16.83203125" style="3" bestFit="1" customWidth="1"/>
    <col min="5" max="5" width="17.5" style="3" bestFit="1" customWidth="1"/>
    <col min="6" max="6" width="16.83203125" style="3" customWidth="1"/>
    <col min="7" max="7" width="17.5" style="3" bestFit="1" customWidth="1"/>
    <col min="8" max="8" width="16.83203125" style="3" customWidth="1"/>
    <col min="9" max="9" width="17.5" style="3" bestFit="1" customWidth="1"/>
    <col min="10" max="10" width="16.83203125" style="3" bestFit="1" customWidth="1"/>
    <col min="11" max="11" width="17.5" style="3" bestFit="1" customWidth="1"/>
    <col min="12" max="12" width="16.83203125" style="3" bestFit="1" customWidth="1"/>
    <col min="13" max="13" width="17.5" style="3" bestFit="1" customWidth="1"/>
    <col min="14" max="14" width="15.5" bestFit="1" customWidth="1"/>
    <col min="15" max="15" width="16" bestFit="1" customWidth="1"/>
    <col min="16" max="16" width="15.5" bestFit="1" customWidth="1"/>
    <col min="17" max="17" width="16" bestFit="1" customWidth="1"/>
    <col min="18" max="18" width="15.5" bestFit="1" customWidth="1"/>
    <col min="19" max="19" width="16" bestFit="1" customWidth="1"/>
    <col min="20" max="20" width="15.5" bestFit="1" customWidth="1"/>
    <col min="21" max="21" width="16" bestFit="1" customWidth="1"/>
  </cols>
  <sheetData>
    <row r="1" spans="1:25" ht="51" x14ac:dyDescent="0.2">
      <c r="A1" s="46" t="s">
        <v>314</v>
      </c>
    </row>
    <row r="2" spans="1:25" ht="16" x14ac:dyDescent="0.2">
      <c r="A2" s="194" t="s">
        <v>247</v>
      </c>
      <c r="B2" s="105">
        <f>'Counts for summary'!B1</f>
        <v>0</v>
      </c>
    </row>
    <row r="3" spans="1:25" x14ac:dyDescent="0.2">
      <c r="A3" s="105" t="s">
        <v>315</v>
      </c>
      <c r="B3" s="318">
        <f>'Counts for summary'!B2</f>
        <v>0</v>
      </c>
    </row>
    <row r="4" spans="1:25" ht="16" x14ac:dyDescent="0.2">
      <c r="A4" s="194" t="s">
        <v>249</v>
      </c>
      <c r="B4" s="318">
        <f>'Counts for summary'!D2</f>
        <v>0</v>
      </c>
    </row>
    <row r="5" spans="1:25" ht="17" thickBot="1" x14ac:dyDescent="0.25">
      <c r="A5" s="47"/>
      <c r="S5" s="4"/>
      <c r="T5" s="4"/>
      <c r="U5" s="4"/>
    </row>
    <row r="6" spans="1:25" ht="16" x14ac:dyDescent="0.2">
      <c r="A6" s="48" t="s">
        <v>316</v>
      </c>
      <c r="B6" s="336" t="str">
        <f>'Counts for summary'!E12</f>
        <v>Chronic Care/Rehabilitation</v>
      </c>
      <c r="C6" s="337"/>
      <c r="D6" s="336" t="str">
        <f>'Counts for summary'!E13</f>
        <v>Emergency</v>
      </c>
      <c r="E6" s="337"/>
      <c r="F6" s="336" t="str">
        <f>'Counts for summary'!E14</f>
        <v>Intensive/Cardiac Care Unit</v>
      </c>
      <c r="G6" s="337"/>
      <c r="H6" s="336" t="str">
        <f>'Counts for summary'!E15</f>
        <v>Medical/Surgical Ward</v>
      </c>
      <c r="I6" s="337"/>
      <c r="J6" s="336" t="str">
        <f>'Counts for summary'!E16</f>
        <v>Neonatal/Pediatric</v>
      </c>
      <c r="K6" s="337"/>
      <c r="L6" s="336" t="str">
        <f>'Counts for summary'!E17</f>
        <v>Obstetrical Unit</v>
      </c>
      <c r="M6" s="337"/>
      <c r="N6" s="336" t="str">
        <f>'Counts for summary'!E18</f>
        <v>Operating Room</v>
      </c>
      <c r="O6" s="337"/>
      <c r="P6" s="336" t="str">
        <f>'Counts for summary'!E19</f>
        <v>Outpatient Clinic</v>
      </c>
      <c r="Q6" s="337"/>
      <c r="R6" s="336" t="str">
        <f>'Counts for summary'!E20</f>
        <v>Post Anesthetic Care Unit</v>
      </c>
      <c r="S6" s="337"/>
      <c r="T6" s="336" t="str">
        <f>'Counts for summary'!E21</f>
        <v>Other</v>
      </c>
      <c r="U6" s="338"/>
      <c r="W6" s="4"/>
      <c r="X6" s="4"/>
      <c r="Y6" s="4"/>
    </row>
    <row r="7" spans="1:25" s="9" customFormat="1" ht="16" x14ac:dyDescent="0.2">
      <c r="A7" s="104" t="s">
        <v>317</v>
      </c>
      <c r="B7" s="333">
        <f>'Counts for summary'!F12</f>
        <v>0</v>
      </c>
      <c r="C7" s="334"/>
      <c r="D7" s="333">
        <f>'Counts for summary'!F13</f>
        <v>0</v>
      </c>
      <c r="E7" s="334"/>
      <c r="F7" s="333">
        <f>'Counts for summary'!F14</f>
        <v>0</v>
      </c>
      <c r="G7" s="334"/>
      <c r="H7" s="333">
        <f>'Counts for summary'!F15</f>
        <v>0</v>
      </c>
      <c r="I7" s="334"/>
      <c r="J7" s="333">
        <f>'Counts for summary'!F16</f>
        <v>0</v>
      </c>
      <c r="K7" s="334"/>
      <c r="L7" s="333">
        <f>'Counts for summary'!F17</f>
        <v>0</v>
      </c>
      <c r="M7" s="334"/>
      <c r="N7" s="333">
        <f>'Counts for summary'!F18</f>
        <v>0</v>
      </c>
      <c r="O7" s="334"/>
      <c r="P7" s="333">
        <f>'Counts for summary'!F19</f>
        <v>0</v>
      </c>
      <c r="Q7" s="334"/>
      <c r="R7" s="333">
        <f>'Counts for summary'!F20</f>
        <v>0</v>
      </c>
      <c r="S7" s="334"/>
      <c r="T7" s="333">
        <f>'Counts for summary'!F21</f>
        <v>0</v>
      </c>
      <c r="U7" s="335"/>
      <c r="W7" s="17"/>
      <c r="X7" s="17"/>
      <c r="Y7" s="17"/>
    </row>
    <row r="8" spans="1:25" ht="17" thickBot="1" x14ac:dyDescent="0.25">
      <c r="A8" s="55" t="s">
        <v>250</v>
      </c>
      <c r="B8" s="56"/>
      <c r="C8" s="57"/>
      <c r="D8" s="56"/>
      <c r="E8" s="57"/>
      <c r="F8" s="56"/>
      <c r="G8" s="57"/>
      <c r="H8" s="56"/>
      <c r="I8" s="57"/>
      <c r="J8" s="56"/>
      <c r="K8" s="57"/>
      <c r="L8" s="56"/>
      <c r="M8" s="57"/>
      <c r="N8" s="56"/>
      <c r="O8" s="57"/>
      <c r="P8" s="56"/>
      <c r="Q8" s="57"/>
      <c r="R8" s="56"/>
      <c r="S8" s="57"/>
      <c r="T8" s="64"/>
      <c r="U8" s="120"/>
      <c r="W8" s="4"/>
      <c r="X8" s="4"/>
      <c r="Y8" s="4"/>
    </row>
    <row r="9" spans="1:25" ht="17" thickBot="1" x14ac:dyDescent="0.25">
      <c r="A9" s="49" t="s">
        <v>240</v>
      </c>
      <c r="B9" s="58" t="s">
        <v>252</v>
      </c>
      <c r="C9" s="59" t="s">
        <v>239</v>
      </c>
      <c r="D9" s="58" t="s">
        <v>252</v>
      </c>
      <c r="E9" s="59" t="s">
        <v>239</v>
      </c>
      <c r="F9" s="58" t="s">
        <v>252</v>
      </c>
      <c r="G9" s="59" t="s">
        <v>239</v>
      </c>
      <c r="H9" s="58" t="s">
        <v>252</v>
      </c>
      <c r="I9" s="59" t="s">
        <v>239</v>
      </c>
      <c r="J9" s="58" t="s">
        <v>252</v>
      </c>
      <c r="K9" s="59" t="s">
        <v>239</v>
      </c>
      <c r="L9" s="58" t="s">
        <v>252</v>
      </c>
      <c r="M9" s="59" t="s">
        <v>239</v>
      </c>
      <c r="N9" s="58" t="s">
        <v>252</v>
      </c>
      <c r="O9" s="59" t="s">
        <v>239</v>
      </c>
      <c r="P9" s="58" t="s">
        <v>252</v>
      </c>
      <c r="Q9" s="59" t="s">
        <v>239</v>
      </c>
      <c r="R9" s="58" t="s">
        <v>252</v>
      </c>
      <c r="S9" s="59" t="s">
        <v>239</v>
      </c>
      <c r="T9" s="121" t="s">
        <v>252</v>
      </c>
      <c r="U9" s="122" t="s">
        <v>239</v>
      </c>
      <c r="W9" s="4"/>
      <c r="X9" s="4"/>
      <c r="Y9" s="4"/>
    </row>
    <row r="10" spans="1:25" ht="16" x14ac:dyDescent="0.2">
      <c r="A10" s="50" t="s">
        <v>253</v>
      </c>
      <c r="B10" s="158">
        <f>COUNTIFS('Raw data'!L:L,"1",'Raw data'!O:O,1, 'Raw data'!I:I,1)+COUNTIFS('Raw data'!L:L,"2",'Raw data'!O:O,1, 'Raw data'!I:I,1)+COUNTIFS('Raw data'!L:L,"3",'Raw data'!O:O,1, 'Raw data'!I:I,1)+COUNTIFS('Raw data'!L:L,"4",'Raw data'!O:O,1, 'Raw data'!I:I,1)</f>
        <v>0</v>
      </c>
      <c r="C10" s="274">
        <f>IFERROR(B10/(B7-(COUNTIFS('Raw data'!K:K,"1",'Raw data'!I:I,"1",'Raw data'!O:O,""))), 0)</f>
        <v>0</v>
      </c>
      <c r="D10" s="60">
        <f>COUNTIFS('Raw data'!L:L,"1",'Raw data'!O:O,1, 'Raw data'!I:I,2)+COUNTIFS('Raw data'!L:L,"2",'Raw data'!O:O,1, 'Raw data'!I:I,2)+COUNTIFS('Raw data'!L:L,"3",'Raw data'!O:O,1, 'Raw data'!I:I,2)+COUNTIFS('Raw data'!L:L,"4",'Raw data'!O:O,1, 'Raw data'!I:I,2)</f>
        <v>0</v>
      </c>
      <c r="E10" s="275">
        <f>IFERROR(D10/(D7-(COUNTIFS('Raw data'!K:K,"1",'Raw data'!I:I,"2",'Raw data'!O:O,""))), 0)</f>
        <v>0</v>
      </c>
      <c r="F10" s="108">
        <f>COUNTIFS('Raw data'!L:L,"1",'Raw data'!O:O,1, 'Raw data'!I:I,3)+COUNTIFS('Raw data'!L:L,"2",'Raw data'!O:O,1, 'Raw data'!I:I,3)+COUNTIFS('Raw data'!L:L,"3",'Raw data'!O:O,1, 'Raw data'!I:I,3)+COUNTIFS('Raw data'!L:L,"4",'Raw data'!O:O,1, 'Raw data'!I:I,3)</f>
        <v>0</v>
      </c>
      <c r="G10" s="109">
        <f>IFERROR(F10/(F7-(COUNTIFS('Raw data'!K:K,"1",'Raw data'!I:I,"3",'Raw data'!O:O,""))), 0)</f>
        <v>0</v>
      </c>
      <c r="H10" s="160">
        <f>COUNTIFS('Raw data'!L:L,"1",'Raw data'!O:O,1, 'Raw data'!I:I,4)+COUNTIFS('Raw data'!L:L,"2",'Raw data'!O:O,1, 'Raw data'!I:I,4)+COUNTIFS('Raw data'!L:L,"3",'Raw data'!O:O,1, 'Raw data'!I:I,4)+COUNTIFS('Raw data'!L:L,"4",'Raw data'!O:O,1, 'Raw data'!I:I,4)</f>
        <v>0</v>
      </c>
      <c r="I10" s="275">
        <f>IFERROR(H10/(H7-(COUNTIFS('Raw data'!K:K,"1",'Raw data'!I:I,"4",'Raw data'!O:O,""))),0)</f>
        <v>0</v>
      </c>
      <c r="J10" s="60">
        <f>COUNTIFS('Raw data'!L:L,"1",'Raw data'!O:O,1, 'Raw data'!I:I,5)+COUNTIFS('Raw data'!L:L,"2",'Raw data'!O:O,1, 'Raw data'!I:I,5)+COUNTIFS('Raw data'!L:L,"3",'Raw data'!O:O,1, 'Raw data'!I:I,5)+COUNTIFS('Raw data'!L:L,"4",'Raw data'!O:O,1, 'Raw data'!I:I,5)</f>
        <v>0</v>
      </c>
      <c r="K10" s="275">
        <f>IFERROR(J10/(J7-(COUNTIFS('Raw data'!K:K,"1",'Raw data'!I:I,"5",'Raw data'!O:O,""))),0)</f>
        <v>0</v>
      </c>
      <c r="L10" s="60">
        <f>COUNTIFS('Raw data'!L:L,"1",'Raw data'!O:O,1, 'Raw data'!I:I,6)+COUNTIFS('Raw data'!L:L,"2",'Raw data'!O:O,1, 'Raw data'!I:I,6)+COUNTIFS('Raw data'!L:L,"3",'Raw data'!O:O,1, 'Raw data'!I:I,6)+COUNTIFS('Raw data'!L:L,"4",'Raw data'!O:O,1, 'Raw data'!I:I,6)</f>
        <v>0</v>
      </c>
      <c r="M10" s="275">
        <f>IFERROR(L10/(L7-(COUNTIFS('Raw data'!K:K,"1",'Raw data'!I:I,"6",'Raw data'!O:O,""))),0)</f>
        <v>0</v>
      </c>
      <c r="N10" s="106">
        <f>COUNTIFS('Raw data'!L:L,"1",'Raw data'!O:O,1, 'Raw data'!I:I,7)+COUNTIFS('Raw data'!L:L,"2",'Raw data'!O:O,1, 'Raw data'!I:I,7)+COUNTIFS('Raw data'!L:L,"3",'Raw data'!O:O,1, 'Raw data'!I:I,7)+COUNTIFS('Raw data'!L:L,"4",'Raw data'!O:O,1, 'Raw data'!I:I,7)</f>
        <v>0</v>
      </c>
      <c r="O10" s="107">
        <f>IFERROR(N10/(N7-(COUNTIFS('Raw data'!K:K,"1",'Raw data'!I:I,"7",'Raw data'!O:O,""))),0)</f>
        <v>0</v>
      </c>
      <c r="P10" s="119">
        <f>COUNTIFS('Raw data'!L:L,"1",'Raw data'!O:O,1, 'Raw data'!I:I,8)+COUNTIFS('Raw data'!L:L,"2",'Raw data'!O:O,1, 'Raw data'!I:I,8)+COUNTIFS('Raw data'!L:L,"3",'Raw data'!O:O,1, 'Raw data'!I:I,8)+COUNTIFS('Raw data'!L:L,"4",'Raw data'!O:O,1, 'Raw data'!I:I,8)</f>
        <v>0</v>
      </c>
      <c r="Q10" s="276">
        <f>IFERROR(P10/(P7-(COUNTIFS('Raw data'!K:K,"1",'Raw data'!I:I,"8",'Raw data'!O:O,""))),0)</f>
        <v>0</v>
      </c>
      <c r="R10" s="119">
        <f>COUNTIFS('Raw data'!L:L,"1",'Raw data'!O:O,1, 'Raw data'!I:I,9)+COUNTIFS('Raw data'!L:L,"2",'Raw data'!O:O,1, 'Raw data'!I:I,9)+COUNTIFS('Raw data'!L:L,"3",'Raw data'!O:O,1, 'Raw data'!I:I,9)+COUNTIFS('Raw data'!L:L,"4",'Raw data'!O:O,1, 'Raw data'!I:I,9)</f>
        <v>0</v>
      </c>
      <c r="S10" s="277">
        <f>IFERROR(R10/(R7-(COUNTIFS('Raw data'!K:K,"1",'Raw data'!I:I,"9",'Raw data'!O:O,""))),0)</f>
        <v>0</v>
      </c>
      <c r="T10" s="108">
        <f>COUNTIFS('Raw data'!L:L,"1",'Raw data'!O:O,1, 'Raw data'!I:I,10)+COUNTIFS('Raw data'!L:L,"2",'Raw data'!O:O,1, 'Raw data'!I:I,10)+COUNTIFS('Raw data'!L:L,"3",'Raw data'!O:O,1, 'Raw data'!I:I,10)+COUNTIFS('Raw data'!L:L,"4",'Raw data'!O:O,1, 'Raw data'!I:I,10)</f>
        <v>0</v>
      </c>
      <c r="U10" s="109">
        <f>IFERROR(T10/(T7-(COUNTIFS('Raw data'!K:K,"1",'Raw data'!I:I,"10",'Raw data'!O:O,""))),0)</f>
        <v>0</v>
      </c>
      <c r="W10" s="4"/>
      <c r="X10" s="4"/>
      <c r="Y10" s="4"/>
    </row>
    <row r="11" spans="1:25" ht="16" x14ac:dyDescent="0.2">
      <c r="A11" s="51" t="s">
        <v>254</v>
      </c>
      <c r="B11" s="159"/>
      <c r="C11" s="124"/>
      <c r="D11" s="61"/>
      <c r="E11" s="63"/>
      <c r="F11" s="108"/>
      <c r="G11" s="109"/>
      <c r="H11" s="161"/>
      <c r="I11" s="63"/>
      <c r="J11" s="61"/>
      <c r="K11" s="63"/>
      <c r="L11" s="61"/>
      <c r="M11" s="63"/>
      <c r="N11" s="108"/>
      <c r="O11" s="109"/>
      <c r="P11" s="108"/>
      <c r="Q11" s="109"/>
      <c r="R11" s="108"/>
      <c r="S11" s="278"/>
      <c r="T11" s="108"/>
      <c r="U11" s="109"/>
      <c r="W11" s="4"/>
      <c r="X11" s="4"/>
      <c r="Y11" s="4"/>
    </row>
    <row r="12" spans="1:25" ht="16" x14ac:dyDescent="0.2">
      <c r="A12" s="52" t="s">
        <v>256</v>
      </c>
      <c r="B12" s="159">
        <f>COUNTIFS('Raw data'!L:L,"1",'Raw data'!P:P,1, 'Raw data'!I:I,1)+COUNTIFS('Raw data'!L:L,"2",'Raw data'!P:P,1, 'Raw data'!L:L,1)+COUNTIFS('Raw data'!L:L,"3",'Raw data'!P:P,1, 'Raw data'!I:I,1)+COUNTIFS('Raw data'!L:L,"4",'Raw data'!P:P,1, 'Raw data'!I:I,1)</f>
        <v>0</v>
      </c>
      <c r="C12" s="124">
        <f>IFERROR(B12/(B7-(COUNTIFS('Raw data'!K:K,"1",'Raw data'!I:I,"1",'Raw data'!P:P,""))), 0)</f>
        <v>0</v>
      </c>
      <c r="D12" s="61">
        <f>COUNTIFS('Raw data'!L:L,"1",'Raw data'!P:P,1, 'Raw data'!I:I,2)+COUNTIFS('Raw data'!L:L,"2",'Raw data'!P:P,1, 'Raw data'!I:I,2)+COUNTIFS('Raw data'!L:L,"3",'Raw data'!P:P,1, 'Raw data'!I:I,2)+COUNTIFS('Raw data'!L:L,"4",'Raw data'!P:P,1, 'Raw data'!I:I,2)</f>
        <v>0</v>
      </c>
      <c r="E12" s="63">
        <f>IFERROR(D12/(D7-(COUNTIFS('Raw data'!K:K,"1",'Raw data'!I:I,"2",'Raw data'!P:P,""))),0)</f>
        <v>0</v>
      </c>
      <c r="F12" s="108">
        <f>COUNTIFS('Raw data'!L:L,"1",'Raw data'!P:P,1, 'Raw data'!I:I,3)+COUNTIFS('Raw data'!L:L,"2",'Raw data'!P:P,1, 'Raw data'!I:I,3)+COUNTIFS('Raw data'!L:L,"3",'Raw data'!P:P,1, 'Raw data'!I:I,3)+COUNTIFS('Raw data'!L:L,"4",'Raw data'!P:P,1, 'Raw data'!I:I,3)</f>
        <v>0</v>
      </c>
      <c r="G12" s="109">
        <f>IFERROR(F12/(F7-(COUNTIFS('Raw data'!K:K,"1",'Raw data'!I:I,"3",'Raw data'!P:P,""))), 0)</f>
        <v>0</v>
      </c>
      <c r="H12" s="161">
        <f>COUNTIFS('Raw data'!L:L,"1",'Raw data'!P:P,1, 'Raw data'!I:I,4)+COUNTIFS('Raw data'!L:L,"2",'Raw data'!P:P,1, 'Raw data'!I:I,4)+COUNTIFS('Raw data'!L:L,"3",'Raw data'!P:P,1, 'Raw data'!I:I,4)+COUNTIFS('Raw data'!L:L,"4",'Raw data'!P:P,1, 'Raw data'!I:I,4)</f>
        <v>0</v>
      </c>
      <c r="I12" s="63">
        <f>IFERROR(H12/(H7-(COUNTIFS('Raw data'!K:K,"1",'Raw data'!I:I,"4",'Raw data'!P:P,""))),0)</f>
        <v>0</v>
      </c>
      <c r="J12" s="61">
        <f>COUNTIFS('Raw data'!L:L,"1",'Raw data'!P:P,1, 'Raw data'!I:I,5)+COUNTIFS('Raw data'!L:L,"2",'Raw data'!P:P,1, 'Raw data'!I:I,5)+COUNTIFS('Raw data'!L:L,"3",'Raw data'!P:P,1, 'Raw data'!I:I,5)+COUNTIFS('Raw data'!L:L,"4",'Raw data'!P:P,1, 'Raw data'!I:I,5)</f>
        <v>0</v>
      </c>
      <c r="K12" s="63">
        <f>IFERROR(J12/(J7-(COUNTIFS('Raw data'!K:K,"1",'Raw data'!I:I,"5",'Raw data'!P:P,""))),0)</f>
        <v>0</v>
      </c>
      <c r="L12" s="61">
        <f>COUNTIFS('Raw data'!L:L,"1",'Raw data'!P:P,1, 'Raw data'!I:I,6)+COUNTIFS('Raw data'!L:L,"2",'Raw data'!P:P,1, 'Raw data'!I:I,6)+COUNTIFS('Raw data'!L:L,"3",'Raw data'!P:P,1,'Raw data'!I:I,6)+COUNTIFS('Raw data'!L:L,"4",'Raw data'!P:P,1, 'Raw data'!I:I,6)</f>
        <v>0</v>
      </c>
      <c r="M12" s="63">
        <f>IFERROR(L12/(L7-(COUNTIFS('Raw data'!K:K,"1",'Raw data'!I:I,"6",'Raw data'!P:P,""))),0)</f>
        <v>0</v>
      </c>
      <c r="N12" s="108">
        <f>COUNTIFS('Raw data'!L:L,"1",'Raw data'!P:P,1, 'Raw data'!I:I,7)+COUNTIFS('Raw data'!L:L,"2",'Raw data'!P:P,1, 'Raw data'!I:I,7)+COUNTIFS('Raw data'!L:L,"3",'Raw data'!P:P,1, 'Raw data'!I:I,7)+COUNTIFS('Raw data'!L:L,"4",'Raw data'!P:P,1, 'Raw data'!I:I,7)</f>
        <v>0</v>
      </c>
      <c r="O12" s="109">
        <f>IFERROR(N12/(N7-(COUNTIFS('Raw data'!K:K,"1",'Raw data'!I:I,"7",'Raw data'!P:P,""))),0)</f>
        <v>0</v>
      </c>
      <c r="P12" s="108">
        <f>COUNTIFS('Raw data'!L:L,"1",'Raw data'!P:P,1, 'Raw data'!I:I,8)+COUNTIFS('Raw data'!L:L,"2",'Raw data'!P:P,1, 'Raw data'!I:I,8)+COUNTIFS('Raw data'!L:L,"3",'Raw data'!P:P,1, 'Raw data'!I:I,8)+COUNTIFS('Raw data'!L:L,"4",'Raw data'!P:P,1, 'Raw data'!I:I,8)</f>
        <v>0</v>
      </c>
      <c r="Q12" s="109">
        <f>IFERROR(P12/(P7-(COUNTIFS('Raw data'!K:K,"1",'Raw data'!I:I,"8",'Raw data'!P:P,""))),0)</f>
        <v>0</v>
      </c>
      <c r="R12" s="108">
        <f>COUNTIFS('Raw data'!L:L,"1",'Raw data'!P:P,1, 'Raw data'!I:I,9)+COUNTIFS('Raw data'!L:L,"2",'Raw data'!P:P,1, 'Raw data'!I:I,9)+COUNTIFS('Raw data'!L:L,"3",'Raw data'!P:P,1,'Raw data'!I:I,9)+COUNTIFS('Raw data'!L:L,"4",'Raw data'!P:P,1, 'Raw data'!I:I,9)</f>
        <v>0</v>
      </c>
      <c r="S12" s="278">
        <f>IFERROR(R12/(R7-(COUNTIFS('Raw data'!K:K,"1",'Raw data'!I:I,"9",'Raw data'!P:P,""))),0)</f>
        <v>0</v>
      </c>
      <c r="T12" s="108">
        <f>COUNTIFS('Raw data'!L:L,"1",'Raw data'!P:P,1, 'Raw data'!I:I,10)+COUNTIFS('Raw data'!L:L,"2",'Raw data'!P:P,1, 'Raw data'!I:I,10)+COUNTIFS('Raw data'!L:L,"3",'Raw data'!P:P,1, 'Raw data'!I:I,10)+COUNTIFS('Raw data'!L:L,"4",'Raw data'!P:P,1, 'Raw data'!I:I,10)</f>
        <v>0</v>
      </c>
      <c r="U12" s="109">
        <f>IFERROR(T12/(T7-(COUNTIFS('Raw data'!K:K,"1",'Raw data'!I:I,"10",'Raw data'!P:P,""))),0)</f>
        <v>0</v>
      </c>
      <c r="W12" s="4"/>
      <c r="X12" s="4"/>
      <c r="Y12" s="4"/>
    </row>
    <row r="13" spans="1:25" ht="16" x14ac:dyDescent="0.2">
      <c r="A13" s="52" t="s">
        <v>257</v>
      </c>
      <c r="B13" s="159">
        <f>COUNTIFS('Raw data'!L:L,"1",'Raw data'!Q:Q,1, 'Raw data'!I:I,1)+COUNTIFS('Raw data'!L:L,"2",'Raw data'!Q:Q,1, 'Raw data'!I:I,1)+COUNTIFS('Raw data'!L:L,"3",'Raw data'!Q:Q,1, 'Raw data'!I:I,1)+COUNTIFS('Raw data'!L:L,"4",'Raw data'!Q:Q,1, 'Raw data'!I:I,1)</f>
        <v>0</v>
      </c>
      <c r="C13" s="124">
        <f>IFERROR(B13/(B7-(COUNTIFS('Raw data'!K:K,"1",'Raw data'!I:I,"1",'Raw data'!Q:Q,""))), 0)</f>
        <v>0</v>
      </c>
      <c r="D13" s="61">
        <f>COUNTIFS('Raw data'!L:L,"1",'Raw data'!Q:Q,1, 'Raw data'!I:I,2)+COUNTIFS('Raw data'!L:L,"2",'Raw data'!Q:Q,1, 'Raw data'!I:I,2)+COUNTIFS('Raw data'!L:L,"3",'Raw data'!Q:Q,1, 'Raw data'!I:I,2)+COUNTIFS('Raw data'!L:L,"4",'Raw data'!Q:Q,1, 'Raw data'!I:I,2)</f>
        <v>0</v>
      </c>
      <c r="E13" s="63">
        <f>IFERROR(D13/(D7-(COUNTIFS('Raw data'!K:K,"1",'Raw data'!I:I,"2",'Raw data'!Q:Q,""))), 0)</f>
        <v>0</v>
      </c>
      <c r="F13" s="108">
        <f>COUNTIFS('Raw data'!L:L,"1",'Raw data'!Q:Q,1, 'Raw data'!I:I,3)+COUNTIFS('Raw data'!L:L,"2",'Raw data'!Q:Q,1, 'Raw data'!I:I,3)+COUNTIFS('Raw data'!L:L,"3",'Raw data'!Q:Q,1, 'Raw data'!I:I,3)+COUNTIFS('Raw data'!L:L,"4",'Raw data'!Q:Q,1, 'Raw data'!I:I,3)</f>
        <v>0</v>
      </c>
      <c r="G13" s="109">
        <f>IFERROR(F13/(F7-(COUNTIFS('Raw data'!K:K,"1",'Raw data'!I:I,"3",'Raw data'!Q:Q,""))), 0)</f>
        <v>0</v>
      </c>
      <c r="H13" s="161">
        <f>COUNTIFS('Raw data'!L:L,"1",'Raw data'!Q:Q,1, 'Raw data'!I:I,4)+COUNTIFS('Raw data'!L:L,"2",'Raw data'!Q:Q,1, 'Raw data'!I:I,4)+COUNTIFS('Raw data'!L:L,"3",'Raw data'!Q:Q,1, 'Raw data'!I:I,4)+COUNTIFS('Raw data'!L:L,"4",'Raw data'!Q:Q,1, 'Raw data'!I:I,4)</f>
        <v>0</v>
      </c>
      <c r="I13" s="63">
        <f>IFERROR(H13/(H7-(COUNTIFS('Raw data'!K:K,"1",'Raw data'!I:I,"4",'Raw data'!Q:Q,""))),0)</f>
        <v>0</v>
      </c>
      <c r="J13" s="61">
        <f>COUNTIFS('Raw data'!L:L,"1",'Raw data'!Q:Q,1, 'Raw data'!I:I,5)+COUNTIFS('Raw data'!L:L,"2",'Raw data'!Q:Q,1, 'Raw data'!I:I,5)+COUNTIFS('Raw data'!L:L,"3",'Raw data'!Q:Q,1, 'Raw data'!I:I,5)+COUNTIFS('Raw data'!L:L,"4",'Raw data'!Q:Q,1, 'Raw data'!I:I,5)</f>
        <v>0</v>
      </c>
      <c r="K13" s="63">
        <f>IFERROR(J13/(J7-(COUNTIFS('Raw data'!K:K,"1",'Raw data'!I:I,"5",'Raw data'!Q:Q,""))),0)</f>
        <v>0</v>
      </c>
      <c r="L13" s="61">
        <f>COUNTIFS('Raw data'!L:L,"1",'Raw data'!Q:Q,1, 'Raw data'!I:I,6)+COUNTIFS('Raw data'!L:L,"2",'Raw data'!Q:Q,1, 'Raw data'!I:I,6)+COUNTIFS('Raw data'!L:L,"3",'Raw data'!Q:Q,1, 'Raw data'!I:I,6)+COUNTIFS('Raw data'!L:L,"4",'Raw data'!Q:Q,1, 'Raw data'!I:I,6)</f>
        <v>0</v>
      </c>
      <c r="M13" s="63">
        <f>IFERROR(L13/(L7-(COUNTIFS('Raw data'!K:K,"1",'Raw data'!I:I,"6",'Raw data'!Q:Q,""))),0)</f>
        <v>0</v>
      </c>
      <c r="N13" s="108">
        <f>COUNTIFS('Raw data'!L:L,"1",'Raw data'!Q:Q,1, 'Raw data'!I:I,7)+COUNTIFS('Raw data'!L:L,"2",'Raw data'!Q:Q,1, 'Raw data'!I:I,7)+COUNTIFS('Raw data'!L:L,"3",'Raw data'!Q:Q,1, 'Raw data'!I:I,7)+COUNTIFS('Raw data'!L:L,"4",'Raw data'!Q:Q,1, 'Raw data'!I:I,7)</f>
        <v>0</v>
      </c>
      <c r="O13" s="109">
        <f>IFERROR(N13/(N7-(COUNTIFS('Raw data'!K:K,"1",'Raw data'!I:I,"7",'Raw data'!Q:Q,""))),0)</f>
        <v>0</v>
      </c>
      <c r="P13" s="108">
        <f>COUNTIFS('Raw data'!L:L,"1",'Raw data'!Q:Q,1, 'Raw data'!I:I,8)+COUNTIFS('Raw data'!L:L,"2",'Raw data'!Q:Q,1, 'Raw data'!I:I,8)+COUNTIFS('Raw data'!L:L,"3",'Raw data'!Q:Q,1, 'Raw data'!I:I,8)+COUNTIFS('Raw data'!L:L,"4",'Raw data'!Q:Q,1, 'Raw data'!I:I,8)</f>
        <v>0</v>
      </c>
      <c r="Q13" s="109">
        <f>IFERROR(P13/(P7-(COUNTIFS('Raw data'!K:K,"1",'Raw data'!I:I,"8",'Raw data'!Q:Q,""))),0)</f>
        <v>0</v>
      </c>
      <c r="R13" s="108">
        <f>COUNTIFS('Raw data'!L:L,"1",'Raw data'!Q:Q,1, 'Raw data'!I:I,9)+COUNTIFS('Raw data'!L:L,"2",'Raw data'!Q:Q,1, 'Raw data'!I:I,9)+COUNTIFS('Raw data'!L:L,"3",'Raw data'!Q:Q,1, 'Raw data'!I:I,9)+COUNTIFS('Raw data'!L:L,"4",'Raw data'!Q:Q,1, 'Raw data'!I:I,9)</f>
        <v>0</v>
      </c>
      <c r="S13" s="278">
        <f>IFERROR(R13/(R7-(COUNTIFS('Raw data'!K:K,"1",'Raw data'!I:I,"9",'Raw data'!Q:Q,""))),0)</f>
        <v>0</v>
      </c>
      <c r="T13" s="108">
        <f>COUNTIFS('Raw data'!L:L,"1",'Raw data'!Q:Q,1, 'Raw data'!I:I,10)+COUNTIFS('Raw data'!L:L,"2",'Raw data'!Q:Q,1, 'Raw data'!I:I,10)+COUNTIFS('Raw data'!L:L,"3",'Raw data'!Q:Q,1, 'Raw data'!I:I,10)+COUNTIFS('Raw data'!L:L,"4",'Raw data'!Q:Q,1, 'Raw data'!I:I,10)</f>
        <v>0</v>
      </c>
      <c r="U13" s="109">
        <f>IFERROR(T13/(T7-(COUNTIFS('Raw data'!K:K,"1",'Raw data'!I:I,"10",'Raw data'!Q:Q,""))),0)</f>
        <v>0</v>
      </c>
      <c r="W13" s="4"/>
      <c r="X13" s="4"/>
      <c r="Y13" s="4"/>
    </row>
    <row r="14" spans="1:25" ht="32" x14ac:dyDescent="0.2">
      <c r="A14" s="53" t="s">
        <v>258</v>
      </c>
      <c r="B14" s="159">
        <f>COUNTIFS('Raw data'!L:L,"1",'Raw data'!R:R,1, 'Raw data'!I:I,1)+COUNTIFS('Raw data'!L:L,"2",'Raw data'!R:R,1, 'Raw data'!I:I,1)+COUNTIFS('Raw data'!L:L,"3",'Raw data'!R:R,1, 'Raw data'!I:I,1)+COUNTIFS('Raw data'!L:L,"4",'Raw data'!R:R,1, 'Raw data'!I:I,1)</f>
        <v>0</v>
      </c>
      <c r="C14" s="124">
        <f>IFERROR(B14/(B7-(COUNTIFS('Raw data'!K:K,"1",'Raw data'!I:I,"1",'Raw data'!R:R,""))), 0)</f>
        <v>0</v>
      </c>
      <c r="D14" s="61">
        <f>COUNTIFS('Raw data'!L:L,"1",'Raw data'!R:R,1, 'Raw data'!I:I,2)+COUNTIFS('Raw data'!L:L,"2",'Raw data'!R:R,1, 'Raw data'!I:I,2)+COUNTIFS('Raw data'!L:L,"3",'Raw data'!R:R,1, 'Raw data'!I:I,2)+COUNTIFS('Raw data'!L:L,"4",'Raw data'!R:R,1, 'Raw data'!I:I,2)</f>
        <v>0</v>
      </c>
      <c r="E14" s="63">
        <f>IFERROR(D14/(D7-(COUNTIFS('Raw data'!K:K,"1",'Raw data'!I:I,"2",'Raw data'!R:R,""))),0)</f>
        <v>0</v>
      </c>
      <c r="F14" s="108">
        <f>COUNTIFS('Raw data'!L:L,"1",'Raw data'!R:R,1, 'Raw data'!I:I,3)+COUNTIFS('Raw data'!L:L,"2",'Raw data'!R:R,1, 'Raw data'!I:I,3)+COUNTIFS('Raw data'!L:L,"3",'Raw data'!R:R,1, 'Raw data'!I:I,3)+COUNTIFS('Raw data'!L:L,"4",'Raw data'!R:R,1, 'Raw data'!I:I,3)</f>
        <v>0</v>
      </c>
      <c r="G14" s="109">
        <f>IFERROR(F14/(F7-(COUNTIFS('Raw data'!K:K,"1",'Raw data'!I:I,"3",'Raw data'!R:R,""))), 0)</f>
        <v>0</v>
      </c>
      <c r="H14" s="161">
        <f>COUNTIFS('Raw data'!L:L,"1",'Raw data'!R:R,1, 'Raw data'!I:I,4)+COUNTIFS('Raw data'!L:L,"2",'Raw data'!R:R,1, 'Raw data'!I:I,4)+COUNTIFS('Raw data'!L:L,"3",'Raw data'!R:R,1, 'Raw data'!I:I,4)+COUNTIFS('Raw data'!L:L,"4",'Raw data'!R:R,1, 'Raw data'!I:I,4)</f>
        <v>0</v>
      </c>
      <c r="I14" s="63">
        <f>IFERROR(H14/(H7-(COUNTIFS('Raw data'!K:K,"1",'Raw data'!I:I,"4",'Raw data'!R:R,""))),0)</f>
        <v>0</v>
      </c>
      <c r="J14" s="61">
        <f>COUNTIFS('Raw data'!L:L,"1",'Raw data'!R:R,1, 'Raw data'!I:I,5)+COUNTIFS('Raw data'!L:L,"2",'Raw data'!R:R,1, 'Raw data'!I:I,5)+COUNTIFS('Raw data'!L:L,"3",'Raw data'!R:R,1, 'Raw data'!I:I,5)+COUNTIFS('Raw data'!L:L,"4",'Raw data'!R:R,1, 'Raw data'!I:I,5)</f>
        <v>0</v>
      </c>
      <c r="K14" s="63">
        <f>IFERROR(J14/(J7-(COUNTIFS('Raw data'!K:K,"1",'Raw data'!I:I,"5",'Raw data'!R:R,""))),0)</f>
        <v>0</v>
      </c>
      <c r="L14" s="61">
        <f>COUNTIFS('Raw data'!L:L,"1",'Raw data'!R:R,1, 'Raw data'!I:I,6)+COUNTIFS('Raw data'!L:L,"2",'Raw data'!R:R,1, 'Raw data'!I:I,6)+COUNTIFS('Raw data'!L:L,"3",'Raw data'!R:R,1, 'Raw data'!I:I,6)+COUNTIFS('Raw data'!L:L,"4",'Raw data'!R:R,1, 'Raw data'!I:I,6)</f>
        <v>0</v>
      </c>
      <c r="M14" s="63">
        <f>IFERROR(L14/(L7-(COUNTIFS('Raw data'!K:K,"1",'Raw data'!I:I,"6",'Raw data'!R:R,""))),0)</f>
        <v>0</v>
      </c>
      <c r="N14" s="108">
        <f>COUNTIFS('Raw data'!L:L,"1",'Raw data'!R:R,1, 'Raw data'!I:I,7)+COUNTIFS('Raw data'!L:L,"2",'Raw data'!R:R,1, 'Raw data'!I:I,7)+COUNTIFS('Raw data'!L:L,"3",'Raw data'!R:R,1, 'Raw data'!I:I,7)+COUNTIFS('Raw data'!L:L,"4",'Raw data'!R:R,1, 'Raw data'!I:I,7)</f>
        <v>0</v>
      </c>
      <c r="O14" s="109">
        <f>IFERROR(N14/(N7-(COUNTIFS('Raw data'!K:K,"1",'Raw data'!I:I,"7",'Raw data'!R:R,""))),0)</f>
        <v>0</v>
      </c>
      <c r="P14" s="108">
        <f>COUNTIFS('Raw data'!L:L,"1",'Raw data'!R:R,1, 'Raw data'!I:I,8)+COUNTIFS('Raw data'!L:L,"2",'Raw data'!R:R,1, 'Raw data'!I:I,8)+COUNTIFS('Raw data'!L:L,"3",'Raw data'!R:R,1, 'Raw data'!I:I,8)+COUNTIFS('Raw data'!L:L,"4",'Raw data'!R:R,1, 'Raw data'!I:I,8)</f>
        <v>0</v>
      </c>
      <c r="Q14" s="109">
        <f>IFERROR(P14/(P7-(COUNTIFS('Raw data'!K:K,"1",'Raw data'!I:I,"8",'Raw data'!R:R,""))),0)</f>
        <v>0</v>
      </c>
      <c r="R14" s="108">
        <f>COUNTIFS('Raw data'!L:L,"1",'Raw data'!R:R,1, 'Raw data'!I:I,9)+COUNTIFS('Raw data'!L:L,"2",'Raw data'!R:R,1, 'Raw data'!I:I,9)+COUNTIFS('Raw data'!L:L,"3",'Raw data'!R:R,1, 'Raw data'!I:I,9)+COUNTIFS('Raw data'!L:L,"4",'Raw data'!R:R,1, 'Raw data'!I:I,9)</f>
        <v>0</v>
      </c>
      <c r="S14" s="278">
        <f>IFERROR(R14/(R7-(COUNTIFS('Raw data'!K:K,"1",'Raw data'!I:I,"9",'Raw data'!R:R,""))),0)</f>
        <v>0</v>
      </c>
      <c r="T14" s="108">
        <f>COUNTIFS('Raw data'!L:L,"1",'Raw data'!R:R,1, 'Raw data'!I:I,10)+COUNTIFS('Raw data'!L:L,"2",'Raw data'!R:R,1, 'Raw data'!I:I,10)+COUNTIFS('Raw data'!L:L,"3",'Raw data'!R:R,1, 'Raw data'!I:I,10)+COUNTIFS('Raw data'!L:L,"4",'Raw data'!R:R,1, 'Raw data'!I:I,10)</f>
        <v>0</v>
      </c>
      <c r="U14" s="109">
        <f>IFERROR(T14/(T7-(COUNTIFS('Raw data'!K:K,"1",'Raw data'!I:I,"10",'Raw data'!R:R,""))),0)</f>
        <v>0</v>
      </c>
      <c r="W14" s="4"/>
      <c r="X14" s="4"/>
      <c r="Y14" s="4"/>
    </row>
    <row r="15" spans="1:25" ht="16" x14ac:dyDescent="0.2">
      <c r="A15" s="54" t="s">
        <v>259</v>
      </c>
      <c r="B15" s="159">
        <f>COUNTIFS('Raw data'!L:L,"1",'Raw data'!X:X,1, 'Raw data'!I:I,1)+COUNTIFS('Raw data'!L:L,"2",'Raw data'!X:X,1, 'Raw data'!I:I,1)+COUNTIFS('Raw data'!L:L,"3",'Raw data'!X:X,1, 'Raw data'!I:I,1)+COUNTIFS('Raw data'!L:L,"4",'Raw data'!X:X,1, 'Raw data'!I:I,1)</f>
        <v>0</v>
      </c>
      <c r="C15" s="124">
        <f>IFERROR(B15/(B7-(COUNTIFS('Raw data'!K:K,"1",'Raw data'!I:I,"1",'Raw data'!X:X,""))), 0)</f>
        <v>0</v>
      </c>
      <c r="D15" s="61">
        <f>COUNTIFS('Raw data'!L:L,"1",'Raw data'!X:X,1, 'Raw data'!I:I,2)+COUNTIFS('Raw data'!L:L,"2",'Raw data'!X:X,1, 'Raw data'!I:I,2)+COUNTIFS('Raw data'!L:L,"3",'Raw data'!X:X,1, 'Raw data'!I:I,2)+COUNTIFS('Raw data'!L:L,"4",'Raw data'!X:X,1, 'Raw data'!I:I,2)</f>
        <v>0</v>
      </c>
      <c r="E15" s="63">
        <f>IFERROR(D15/(D7-(COUNTIFS('Raw data'!K:K,"1",'Raw data'!I:I,"2",'Raw data'!X:X,""))),0)</f>
        <v>0</v>
      </c>
      <c r="F15" s="108">
        <f>COUNTIFS('Raw data'!L:L,"1",'Raw data'!X:X,1, 'Raw data'!I:I,3)+COUNTIFS('Raw data'!L:L,"2",'Raw data'!X:X,1, 'Raw data'!I:I,3)+COUNTIFS('Raw data'!L:L,"3",'Raw data'!X:X,1, 'Raw data'!I:I,3)+COUNTIFS('Raw data'!L:L,"4",'Raw data'!X:X,1, 'Raw data'!I:I,3)</f>
        <v>0</v>
      </c>
      <c r="G15" s="109">
        <f>IFERROR(F15/(F7-(COUNTIFS('Raw data'!K:K,"1",'Raw data'!I:I,"3",'Raw data'!X:X,""))), 0)</f>
        <v>0</v>
      </c>
      <c r="H15" s="161">
        <f>COUNTIFS('Raw data'!L:L,"1",'Raw data'!X:X,1, 'Raw data'!I:I,4)+COUNTIFS('Raw data'!L:L,"2",'Raw data'!X:X,1, 'Raw data'!I:I,4)+COUNTIFS('Raw data'!L:L,"3",'Raw data'!X:X,1, 'Raw data'!I:I,4)+COUNTIFS('Raw data'!L:L,"4",'Raw data'!X:X,1, 'Raw data'!I:I,4)</f>
        <v>0</v>
      </c>
      <c r="I15" s="63">
        <f>IFERROR(H15/(H7-(COUNTIFS('Raw data'!K:K,"1",'Raw data'!I:I,"4",'Raw data'!X:X,""))),0)</f>
        <v>0</v>
      </c>
      <c r="J15" s="61">
        <f>COUNTIFS('Raw data'!L:L,"1",'Raw data'!X:X,1, 'Raw data'!I:I,5)+COUNTIFS('Raw data'!L:L,"2",'Raw data'!X:X,1, 'Raw data'!I:I,5)+COUNTIFS('Raw data'!L:L,"3",'Raw data'!X:X,1, 'Raw data'!I:I,5)+COUNTIFS('Raw data'!L:L,"4",'Raw data'!X:X,1, 'Raw data'!I:I,5)</f>
        <v>0</v>
      </c>
      <c r="K15" s="63">
        <f>IFERROR(J15/(J7-(COUNTIFS('Raw data'!K:K,"1",'Raw data'!I:I,"5",'Raw data'!X:X,""))),0)</f>
        <v>0</v>
      </c>
      <c r="L15" s="61">
        <f>COUNTIFS('Raw data'!L:L,"1",'Raw data'!X:X,1, 'Raw data'!I:I,6)+COUNTIFS('Raw data'!L:L,"2",'Raw data'!X:X,1, 'Raw data'!I:I,6)+COUNTIFS('Raw data'!L:L,"3",'Raw data'!X:X,1, 'Raw data'!I:I,6)+COUNTIFS('Raw data'!L:L,"4",'Raw data'!X:X,1, 'Raw data'!I:I,6)</f>
        <v>0</v>
      </c>
      <c r="M15" s="63">
        <f>IFERROR(L15/(L7-(COUNTIFS('Raw data'!K:K,"1",'Raw data'!I:I,"6",'Raw data'!X:X,""))),0)</f>
        <v>0</v>
      </c>
      <c r="N15" s="108">
        <f>COUNTIFS('Raw data'!L:L,"1",'Raw data'!X:X,1, 'Raw data'!I:I,7)+COUNTIFS('Raw data'!L:L,"2",'Raw data'!X:X,1, 'Raw data'!I:I,7)+COUNTIFS('Raw data'!L:L,"3",'Raw data'!X:X,1, 'Raw data'!I:I,7)+COUNTIFS('Raw data'!L:L,"4",'Raw data'!X:X,1, 'Raw data'!I:I,7)</f>
        <v>0</v>
      </c>
      <c r="O15" s="109">
        <f>IFERROR(N15/(N7-(COUNTIFS('Raw data'!K:K,"1",'Raw data'!I:I,"7",'Raw data'!X:X,""))),0)</f>
        <v>0</v>
      </c>
      <c r="P15" s="108">
        <f>COUNTIFS('Raw data'!L:L,"1",'Raw data'!X:X,1, 'Raw data'!I:I,8)+COUNTIFS('Raw data'!L:L,"2",'Raw data'!X:X,1, 'Raw data'!I:I,8)+COUNTIFS('Raw data'!L:L,"3",'Raw data'!X:X,1, 'Raw data'!I:I,8)+COUNTIFS('Raw data'!L:L,"4",'Raw data'!X:X,1, 'Raw data'!I:I,8)</f>
        <v>0</v>
      </c>
      <c r="Q15" s="109">
        <f>IFERROR(P15/(P7-(COUNTIFS('Raw data'!K:K,"1",'Raw data'!I:I,"8",'Raw data'!X:X,""))),0)</f>
        <v>0</v>
      </c>
      <c r="R15" s="108">
        <f>COUNTIFS('Raw data'!L:L,"1",'Raw data'!X:X,1, 'Raw data'!I:I,9)+COUNTIFS('Raw data'!L:L,"2",'Raw data'!X:X,1, 'Raw data'!I:I,9)+COUNTIFS('Raw data'!L:L,"3",'Raw data'!X:X,1, 'Raw data'!I:I,9)+COUNTIFS('Raw data'!L:L,"4",'Raw data'!X:X,1, 'Raw data'!I:I,9)</f>
        <v>0</v>
      </c>
      <c r="S15" s="278">
        <f>IFERROR(R15/(R7-(COUNTIFS('Raw data'!K:K,"1",'Raw data'!I:I,"9",'Raw data'!X:X,""))),0)</f>
        <v>0</v>
      </c>
      <c r="T15" s="108">
        <f>COUNTIFS('Raw data'!L:L,"1",'Raw data'!X:X,1, 'Raw data'!I:I,10)+COUNTIFS('Raw data'!L:L,"2",'Raw data'!X:X,1, 'Raw data'!I:I,10)+COUNTIFS('Raw data'!L:L,"3",'Raw data'!X:X,1, 'Raw data'!I:I,10)+COUNTIFS('Raw data'!L:L,"4",'Raw data'!X:X,1, 'Raw data'!I:I,10)</f>
        <v>0</v>
      </c>
      <c r="U15" s="109">
        <f>IFERROR(T15/(T7-(COUNTIFS('Raw data'!K:K,"1",'Raw data'!I:I,"10",'Raw data'!X:X,""))),0)</f>
        <v>0</v>
      </c>
      <c r="W15" s="4"/>
      <c r="X15" s="4"/>
      <c r="Y15" s="4"/>
    </row>
    <row r="16" spans="1:25" ht="33" thickBot="1" x14ac:dyDescent="0.25">
      <c r="A16" s="164" t="s">
        <v>260</v>
      </c>
      <c r="B16" s="165">
        <f>COUNTIFS('Raw data'!L:L,"1",'Raw data'!Y:Y,1, 'Raw data'!I:I,1)+COUNTIFS('Raw data'!L:L,"2",'Raw data'!Y:Y,1, 'Raw data'!I:I,1)+COUNTIFS('Raw data'!L:L,"3",'Raw data'!Y:Y,1, 'Raw data'!I:I,1)+COUNTIFS('Raw data'!L:L,"4",'Raw data'!Y:Y,1, 'Raw data'!I:I,1)</f>
        <v>0</v>
      </c>
      <c r="C16" s="279">
        <f>IFERROR(B16/(B7-(COUNTIFS('Raw data'!K:K,"1",'Raw data'!I:I,"1",'Raw data'!Y:Y,""))), 0)</f>
        <v>0</v>
      </c>
      <c r="D16" s="88">
        <f>COUNTIFS('Raw data'!L:L,"1",'Raw data'!Y:Y,1, 'Raw data'!I:I,2)+COUNTIFS('Raw data'!L:L,"2",'Raw data'!Y:Y,1, 'Raw data'!I:I,2)+COUNTIFS('Raw data'!L:L,"3",'Raw data'!Y:Y,1, 'Raw data'!I:I,2)+COUNTIFS('Raw data'!L:L,"4",'Raw data'!Y:Y,1, 'Raw data'!I:I,2)</f>
        <v>0</v>
      </c>
      <c r="E16" s="280">
        <f>IFERROR(D16/(D7-(COUNTIFS('Raw data'!K:K,"1",'Raw data'!I:I,"2",'Raw data'!Y:Y,""))),0)</f>
        <v>0</v>
      </c>
      <c r="F16" s="166">
        <f>COUNTIFS('Raw data'!L:L,"1",'Raw data'!Y:Y,1, 'Raw data'!I:I,3)+COUNTIFS('Raw data'!L:L,"2",'Raw data'!Y:Y,1, 'Raw data'!I:I,3)+COUNTIFS('Raw data'!L:L,"3",'Raw data'!Y:Y,1, 'Raw data'!I:I,3)+COUNTIFS('Raw data'!L:L,"4",'Raw data'!Y:Y,1, 'Raw data'!I:I,3)</f>
        <v>0</v>
      </c>
      <c r="G16" s="247">
        <f>IFERROR(F16/(F7-(COUNTIFS('Raw data'!K:K,"1",'Raw data'!I:I,"3",'Raw data'!Y:Y,""))), 0)</f>
        <v>0</v>
      </c>
      <c r="H16" s="167">
        <f>COUNTIFS('Raw data'!L:L,"1",'Raw data'!Y:Y,1, 'Raw data'!I:I,4)+COUNTIFS('Raw data'!L:L,"2",'Raw data'!Y:Y,1, 'Raw data'!I:I,4)+COUNTIFS('Raw data'!L:L,"3",'Raw data'!Y:Y,1, 'Raw data'!I:I,4)+COUNTIFS('Raw data'!L:L,"4",'Raw data'!Y:Y,1, 'Raw data'!I:I,4)</f>
        <v>0</v>
      </c>
      <c r="I16" s="280">
        <f>IFERROR(H16/(H7-(COUNTIFS('Raw data'!K:K,"1",'Raw data'!I:I,"4",'Raw data'!Y:Y,""))),0)</f>
        <v>0</v>
      </c>
      <c r="J16" s="88">
        <f>COUNTIFS('Raw data'!L:L,"1",'Raw data'!Y:Y,1, 'Raw data'!I:I,5)+COUNTIFS('Raw data'!L:L,"2",'Raw data'!Y:Y,1, 'Raw data'!I:I,5)+COUNTIFS('Raw data'!L:L,"3",'Raw data'!Y:Y,1, 'Raw data'!I:I,5)+COUNTIFS('Raw data'!L:L,"4",'Raw data'!Y:Y,1, 'Raw data'!I:I,5)</f>
        <v>0</v>
      </c>
      <c r="K16" s="280">
        <f>IFERROR(J16/(J7-(COUNTIFS('Raw data'!K:K,"1",'Raw data'!I:I,"5",'Raw data'!Y:Y,""))),0)</f>
        <v>0</v>
      </c>
      <c r="L16" s="88">
        <f>COUNTIFS('Raw data'!L:L,"1",'Raw data'!Y:Y,1, 'Raw data'!I:I,6)+COUNTIFS('Raw data'!L:L,"2",'Raw data'!Y:Y,1, 'Raw data'!I:I,6)+COUNTIFS('Raw data'!L:L,"3",'Raw data'!Y:Y,1, 'Raw data'!I:I,6)+COUNTIFS('Raw data'!L:L,"4",'Raw data'!Y:Y,1, 'Raw data'!I:I,6)</f>
        <v>0</v>
      </c>
      <c r="M16" s="280">
        <f>IFERROR(L16/(L7-(COUNTIFS('Raw data'!K:K,"1",'Raw data'!I:I,"6",'Raw data'!Y:Y,""))),0)</f>
        <v>0</v>
      </c>
      <c r="N16" s="166">
        <f>COUNTIFS('Raw data'!L:L,"1",'Raw data'!Y:Y,1, 'Raw data'!I:I,7)+COUNTIFS('Raw data'!L:L,"2",'Raw data'!Y:Y,1, 'Raw data'!I:I,7)+COUNTIFS('Raw data'!L:L,"3",'Raw data'!Y:Y,1, 'Raw data'!I:I,7)+COUNTIFS('Raw data'!L:L,"4",'Raw data'!Y:Y,1, 'Raw data'!I:I,7)</f>
        <v>0</v>
      </c>
      <c r="O16" s="247">
        <f>IFERROR(N16/(N7-(COUNTIFS('Raw data'!K:K,"1",'Raw data'!I:I,"7",'Raw data'!Y:Y,""))),0)</f>
        <v>0</v>
      </c>
      <c r="P16" s="166">
        <f>COUNTIFS('Raw data'!L:L,"1",'Raw data'!Y:Y,1, 'Raw data'!I:I,8)+COUNTIFS('Raw data'!L:L,"2",'Raw data'!Y:Y,1, 'Raw data'!I:I,8)+COUNTIFS('Raw data'!L:L,"3",'Raw data'!Y:Y,1, 'Raw data'!I:I,8)+COUNTIFS('Raw data'!L:L,"4",'Raw data'!Y:Y,1, 'Raw data'!I:I,8)</f>
        <v>0</v>
      </c>
      <c r="Q16" s="247">
        <f>IFERROR(P16/(P7-(COUNTIFS('Raw data'!K:K,"1",'Raw data'!I:I,"8",'Raw data'!Y:Y,""))),0)</f>
        <v>0</v>
      </c>
      <c r="R16" s="166">
        <f>COUNTIFS('Raw data'!L:L,"1",'Raw data'!Y:Y,1, 'Raw data'!I:I,9)+COUNTIFS('Raw data'!L:L,"2",'Raw data'!Y:Y,1, 'Raw data'!I:I,9)+COUNTIFS('Raw data'!L:L,"3",'Raw data'!Y:Y,1, 'Raw data'!I:I,9)+COUNTIFS('Raw data'!L:L,"4",'Raw data'!Y:Y,1, 'Raw data'!I:I,9)</f>
        <v>0</v>
      </c>
      <c r="S16" s="281">
        <f>IFERROR(R16/(R7-(COUNTIFS('Raw data'!K:K,"1",'Raw data'!I:I,"9",'Raw data'!Y:Y,""))),0)</f>
        <v>0</v>
      </c>
      <c r="T16" s="166">
        <f>COUNTIFS('Raw data'!L:L,"1",'Raw data'!Y:Y,1, 'Raw data'!I:I,10)+COUNTIFS('Raw data'!L:L,"2",'Raw data'!Y:Y,1, 'Raw data'!I:I,10)+COUNTIFS('Raw data'!L:L,"3",'Raw data'!Y:Y,1, 'Raw data'!I:I,10)+COUNTIFS('Raw data'!L:L,"4",'Raw data'!Y:Y,1, 'Raw data'!I:I,10)</f>
        <v>0</v>
      </c>
      <c r="U16" s="247">
        <f>IFERROR(T16/(T7-(COUNTIFS('Raw data'!K:K,"1",'Raw data'!I:I,"10",'Raw data'!Y:Y,""))),0)</f>
        <v>0</v>
      </c>
      <c r="W16" s="4"/>
      <c r="X16" s="4"/>
      <c r="Y16" s="4"/>
    </row>
    <row r="17" spans="1:25" ht="17" thickBot="1" x14ac:dyDescent="0.25">
      <c r="A17" s="168"/>
      <c r="B17" s="169"/>
      <c r="C17" s="169"/>
      <c r="D17" s="169"/>
      <c r="E17" s="169"/>
      <c r="F17" s="169"/>
      <c r="G17" s="169"/>
      <c r="H17" s="169"/>
      <c r="I17" s="169"/>
      <c r="J17" s="169"/>
      <c r="K17" s="169"/>
      <c r="L17" s="169"/>
      <c r="M17" s="169"/>
      <c r="N17" s="168"/>
      <c r="O17" s="168"/>
      <c r="P17" s="168"/>
      <c r="Q17" s="168"/>
      <c r="R17" s="168"/>
      <c r="S17" s="168"/>
      <c r="T17" s="168"/>
      <c r="U17" s="168"/>
      <c r="W17" s="4"/>
      <c r="X17" s="4"/>
      <c r="Y17" s="4"/>
    </row>
    <row r="18" spans="1:25" ht="16" x14ac:dyDescent="0.2">
      <c r="A18" s="49" t="s">
        <v>241</v>
      </c>
      <c r="B18" s="66" t="s">
        <v>252</v>
      </c>
      <c r="C18" s="67" t="s">
        <v>239</v>
      </c>
      <c r="D18" s="66" t="s">
        <v>252</v>
      </c>
      <c r="E18" s="67" t="s">
        <v>239</v>
      </c>
      <c r="F18" s="66" t="s">
        <v>252</v>
      </c>
      <c r="G18" s="67" t="s">
        <v>239</v>
      </c>
      <c r="H18" s="66" t="s">
        <v>252</v>
      </c>
      <c r="I18" s="67" t="s">
        <v>239</v>
      </c>
      <c r="J18" s="66" t="s">
        <v>252</v>
      </c>
      <c r="K18" s="67" t="s">
        <v>239</v>
      </c>
      <c r="L18" s="66" t="s">
        <v>252</v>
      </c>
      <c r="M18" s="67" t="s">
        <v>239</v>
      </c>
      <c r="N18" s="66" t="s">
        <v>252</v>
      </c>
      <c r="O18" s="67" t="s">
        <v>239</v>
      </c>
      <c r="P18" s="66" t="s">
        <v>252</v>
      </c>
      <c r="Q18" s="67" t="s">
        <v>239</v>
      </c>
      <c r="R18" s="66" t="s">
        <v>252</v>
      </c>
      <c r="S18" s="67" t="s">
        <v>239</v>
      </c>
      <c r="T18" s="66" t="s">
        <v>252</v>
      </c>
      <c r="U18" s="68" t="s">
        <v>239</v>
      </c>
      <c r="W18" s="4"/>
      <c r="X18" s="4"/>
      <c r="Y18" s="4"/>
    </row>
    <row r="19" spans="1:25" ht="49" thickBot="1" x14ac:dyDescent="0.25">
      <c r="A19" s="233" t="s">
        <v>261</v>
      </c>
      <c r="B19" s="61">
        <f>COUNTIFS('Raw data'!L:L,"1",'Raw data'!AA:AA,1, 'Raw data'!I:I,1)+COUNTIFS('Raw data'!L:L,"2",'Raw data'!AA:AA,1, 'Raw data'!I:I,1)+COUNTIFS('Raw data'!L:L,"3",'Raw data'!AA:AA,1, 'Raw data'!I:I,1)+COUNTIFS('Raw data'!L:L,"4",'Raw data'!AA:AA,1, 'Raw data'!I:I,1)</f>
        <v>0</v>
      </c>
      <c r="C19" s="63">
        <f>IFERROR(B19/(B7-(COUNTIFS('Raw data'!K:K,"1",'Raw data'!I:I,"1",'Raw data'!AA:AA,""))), 0)</f>
        <v>0</v>
      </c>
      <c r="D19" s="61">
        <f>COUNTIFS('Raw data'!L:L,"1",'Raw data'!AA:AA,1, 'Raw data'!I:I,2)+COUNTIFS('Raw data'!L:L,"2",'Raw data'!AA:AA,1, 'Raw data'!I:I,2)+COUNTIFS('Raw data'!L:L,"3",'Raw data'!AA:AA,1, 'Raw data'!I:I,2)+COUNTIFS('Raw data'!L:L,"4",'Raw data'!AA:AA,1, 'Raw data'!I:I,2)</f>
        <v>0</v>
      </c>
      <c r="E19" s="63">
        <f>IFERROR(D19/(D7-(COUNTIFS('Raw data'!K:K,"1",'Raw data'!I:I,"2",'Raw data'!AA:AA,""))),0)</f>
        <v>0</v>
      </c>
      <c r="F19" s="61">
        <f>COUNTIFS('Raw data'!L:L,"1",'Raw data'!AA:AA,1, 'Raw data'!I:I,3)+COUNTIFS('Raw data'!L:L,"2",'Raw data'!AA:AA,1, 'Raw data'!I:I,3)+COUNTIFS('Raw data'!L:L,"3",'Raw data'!AA:AA,1, 'Raw data'!I:I,3)+COUNTIFS('Raw data'!L:L,"4",'Raw data'!AA:AA,1, 'Raw data'!I:I,3)</f>
        <v>0</v>
      </c>
      <c r="G19" s="63">
        <f>IFERROR(F19/(F7-(COUNTIFS('Raw data'!K:K,"1",'Raw data'!I:I,"3",'Raw data'!AA:AA,""))), 0)</f>
        <v>0</v>
      </c>
      <c r="H19" s="61">
        <f>COUNTIFS('Raw data'!L:L,"1",'Raw data'!AA:AA,1, 'Raw data'!I:I,4)+COUNTIFS('Raw data'!L:L,"2",'Raw data'!AA:AA,1, 'Raw data'!I:I,4)+COUNTIFS('Raw data'!L:L,"3",'Raw data'!AA:AA,1, 'Raw data'!I:I,4)+COUNTIFS('Raw data'!L:L,"4",'Raw data'!AA:AA,1, 'Raw data'!I:I,4)</f>
        <v>0</v>
      </c>
      <c r="I19" s="63">
        <f>IFERROR(H19/(H7-(COUNTIFS('Raw data'!K:K,"1",'Raw data'!I:I,"4",'Raw data'!AA:AA,""))),0)</f>
        <v>0</v>
      </c>
      <c r="J19" s="61">
        <f>COUNTIFS('Raw data'!L:L,"1",'Raw data'!AA:AA,1, 'Raw data'!I:I,5)+COUNTIFS('Raw data'!L:L,"2",'Raw data'!AA:AA,1, 'Raw data'!I:I,5)+COUNTIFS('Raw data'!L:L,"3",'Raw data'!AA:AA,1, 'Raw data'!I:I,5)+COUNTIFS('Raw data'!L:L,"4",'Raw data'!AA:AA,1, 'Raw data'!I:I,5)</f>
        <v>0</v>
      </c>
      <c r="K19" s="63">
        <f>IFERROR(J19/(J7-(COUNTIFS('Raw data'!K:K,"1",'Raw data'!I:I,"5",'Raw data'!AA:AA,""))),0)</f>
        <v>0</v>
      </c>
      <c r="L19" s="61">
        <f>COUNTIFS('Raw data'!L:L,"1",'Raw data'!AA:AA,1, 'Raw data'!I:I,6)+COUNTIFS('Raw data'!L:L,"2",'Raw data'!AA:AA,1, 'Raw data'!I:I,6)+COUNTIFS('Raw data'!L:L,"3",'Raw data'!AA:AA,1, 'Raw data'!I:I,6)+COUNTIFS('Raw data'!L:L,"4",'Raw data'!AA:AA,1, 'Raw data'!I:I,6)</f>
        <v>0</v>
      </c>
      <c r="M19" s="63">
        <f>IFERROR(L19/(L7-(COUNTIFS('Raw data'!K:K,"1",'Raw data'!I:I,"6",'Raw data'!AA:AA,""))),0)</f>
        <v>0</v>
      </c>
      <c r="N19" s="115">
        <f>COUNTIFS('Raw data'!L:L,"1",'Raw data'!AA:AA,1, 'Raw data'!I:I,7)+COUNTIFS('Raw data'!L:L,"2",'Raw data'!AA:AA,1, 'Raw data'!I:I,7)+COUNTIFS('Raw data'!L:L,"3",'Raw data'!AA:AA,1, 'Raw data'!I:I,7)+COUNTIFS('Raw data'!L:L,"4",'Raw data'!AA:AA,1, 'Raw data'!I:I,7)</f>
        <v>0</v>
      </c>
      <c r="O19" s="192">
        <f>IFERROR(N19/(N7-(COUNTIFS('Raw data'!K:K,"1",'Raw data'!I:I,"7",'Raw data'!AA:AA,""))),0)</f>
        <v>0</v>
      </c>
      <c r="P19" s="234">
        <f>COUNTIFS('Raw data'!L:L,"1",'Raw data'!AA:AA,1, 'Raw data'!I:I,8)+COUNTIFS('Raw data'!L:L,"2",'Raw data'!AA:AA,1, 'Raw data'!I:I,8)+COUNTIFS('Raw data'!L:L,"3",'Raw data'!AA:AA,1, 'Raw data'!I:I,8)+COUNTIFS('Raw data'!L:L,"4",'Raw data'!AA:AA,1, 'Raw data'!I:I,8)</f>
        <v>0</v>
      </c>
      <c r="Q19" s="235">
        <f>IFERROR(P19/(P7-(COUNTIFS('Raw data'!K:K,"1",'Raw data'!I:I,"8",'Raw data'!AA:AA,""))),0)</f>
        <v>0</v>
      </c>
      <c r="R19" s="115">
        <f>COUNTIFS('Raw data'!L:L,"1",'Raw data'!AA:AA,1, 'Raw data'!I:I,9)+COUNTIFS('Raw data'!L:L,"2",'Raw data'!AA:AA,1, 'Raw data'!I:I,9)+COUNTIFS('Raw data'!L:L,"3",'Raw data'!AA:AA,1, 'Raw data'!I:I,9)+COUNTIFS('Raw data'!L:L,"4",'Raw data'!AA:AA,1, 'Raw data'!I:I,9)</f>
        <v>0</v>
      </c>
      <c r="S19" s="192">
        <f>IFERROR(R19/(R7-(COUNTIFS('Raw data'!K:K,"1",'Raw data'!I:I,"9",'Raw data'!AA:AA,""))),0)</f>
        <v>0</v>
      </c>
      <c r="T19" s="115">
        <f>COUNTIFS('Raw data'!L:L,"1",'Raw data'!AA:AA,1, 'Raw data'!I:I,10)+COUNTIFS('Raw data'!L:L,"2",'Raw data'!AA:AA,1, 'Raw data'!I:I,10)+COUNTIFS('Raw data'!L:L,"3",'Raw data'!AA:AA,1, 'Raw data'!I:I,10)+COUNTIFS('Raw data'!L:L,"4",'Raw data'!AA:AA,1, 'Raw data'!I:I,10)</f>
        <v>0</v>
      </c>
      <c r="U19" s="232">
        <f>IFERROR(T19/(T7-(COUNTIFS('Raw data'!K:K,"1",'Raw data'!I:I,"10",'Raw data'!AA:AA,""))),0)</f>
        <v>0</v>
      </c>
      <c r="W19" s="4"/>
      <c r="X19" s="4"/>
      <c r="Y19" s="4"/>
    </row>
    <row r="20" spans="1:25" ht="17" thickBot="1" x14ac:dyDescent="0.25">
      <c r="A20" s="92"/>
      <c r="B20" s="170"/>
      <c r="C20" s="282"/>
      <c r="D20" s="170"/>
      <c r="E20" s="282"/>
      <c r="F20" s="170"/>
      <c r="G20" s="282"/>
      <c r="H20" s="170"/>
      <c r="I20" s="282"/>
      <c r="J20" s="170"/>
      <c r="K20" s="282"/>
      <c r="L20" s="170"/>
      <c r="M20" s="282"/>
      <c r="N20" s="170"/>
      <c r="O20" s="282"/>
      <c r="P20" s="170"/>
      <c r="Q20" s="282"/>
      <c r="R20" s="170"/>
      <c r="S20" s="282"/>
      <c r="T20" s="170"/>
      <c r="U20" s="282"/>
      <c r="W20" s="4"/>
      <c r="X20" s="4"/>
      <c r="Y20" s="4"/>
    </row>
    <row r="21" spans="1:25" ht="16" x14ac:dyDescent="0.2">
      <c r="A21" s="89" t="s">
        <v>242</v>
      </c>
      <c r="B21" s="58" t="s">
        <v>252</v>
      </c>
      <c r="C21" s="59" t="s">
        <v>239</v>
      </c>
      <c r="D21" s="58" t="s">
        <v>252</v>
      </c>
      <c r="E21" s="59" t="s">
        <v>239</v>
      </c>
      <c r="F21" s="58" t="s">
        <v>252</v>
      </c>
      <c r="G21" s="59" t="s">
        <v>239</v>
      </c>
      <c r="H21" s="58" t="s">
        <v>252</v>
      </c>
      <c r="I21" s="59" t="s">
        <v>239</v>
      </c>
      <c r="J21" s="58" t="s">
        <v>252</v>
      </c>
      <c r="K21" s="59" t="s">
        <v>239</v>
      </c>
      <c r="L21" s="58" t="s">
        <v>252</v>
      </c>
      <c r="M21" s="59" t="s">
        <v>239</v>
      </c>
      <c r="N21" s="90" t="s">
        <v>252</v>
      </c>
      <c r="O21" s="91" t="s">
        <v>239</v>
      </c>
      <c r="P21" s="90" t="s">
        <v>252</v>
      </c>
      <c r="Q21" s="91" t="s">
        <v>239</v>
      </c>
      <c r="R21" s="90" t="s">
        <v>252</v>
      </c>
      <c r="S21" s="91" t="s">
        <v>239</v>
      </c>
      <c r="T21" s="58" t="s">
        <v>252</v>
      </c>
      <c r="U21" s="163" t="s">
        <v>239</v>
      </c>
      <c r="W21" s="4"/>
      <c r="X21" s="4"/>
      <c r="Y21" s="4"/>
    </row>
    <row r="22" spans="1:25" ht="32" x14ac:dyDescent="0.2">
      <c r="A22" s="77" t="s">
        <v>263</v>
      </c>
      <c r="B22" s="108">
        <f>COUNTIFS('Raw data'!L:L,"1",'Raw data'!AE:AE,1, 'Raw data'!I:I,1)+COUNTIFS('Raw data'!L:L,"2",'Raw data'!AE:AE,1, 'Raw data'!I:I,1)+COUNTIFS('Raw data'!L:L,"3",'Raw data'!AE:AE,1, 'Raw data'!I:I,1)+COUNTIFS('Raw data'!L:L,"4",'Raw data'!AE:AE,1, 'Raw data'!I:I,1)</f>
        <v>0</v>
      </c>
      <c r="C22" s="109">
        <f>IFERROR(B22/(B7-(COUNTIFS('Raw data'!K:K,"1",'Raw data'!I:I,"1",'Raw data'!AE:AE,""))), 0)</f>
        <v>0</v>
      </c>
      <c r="D22" s="108">
        <f>COUNTIFS('Raw data'!L:L,"1",'Raw data'!AE:AE,1, 'Raw data'!I:I,2)+COUNTIFS('Raw data'!L:L,"2",'Raw data'!AE:AE,1, 'Raw data'!I:I,2)+COUNTIFS('Raw data'!L:L,"3",'Raw data'!AE:AE,1, 'Raw data'!I:I,2)+COUNTIFS('Raw data'!L:L,"4",'Raw data'!AE:AE,1, 'Raw data'!I:I,2)</f>
        <v>0</v>
      </c>
      <c r="E22" s="124">
        <f>IFERROR(D22/(D7-(COUNTIFS('Raw data'!K:K,"1",'Raw data'!I:I,"2",'Raw data'!AE:AE,""))),0)</f>
        <v>0</v>
      </c>
      <c r="F22" s="159">
        <f>COUNTIFS('Raw data'!L:L,"1",'Raw data'!AE:AE,1, 'Raw data'!I:I,3)+COUNTIFS('Raw data'!L:L,"2",'Raw data'!AE:AE,1, 'Raw data'!I:I,3)+COUNTIFS('Raw data'!L:L,"3",'Raw data'!AE:AE,1, 'Raw data'!I:I,3)+COUNTIFS('Raw data'!L:L,"4",'Raw data'!AE:AE,1, 'Raw data'!I:I,3)</f>
        <v>0</v>
      </c>
      <c r="G22" s="124">
        <f>IFERROR(F22/(F7-(COUNTIFS('Raw data'!K:K,"1",'Raw data'!I:I,"3",'Raw data'!AE:AE,""))),0)</f>
        <v>0</v>
      </c>
      <c r="H22" s="159">
        <f>COUNTIFS('Raw data'!L:L,"1",'Raw data'!AE:AE,1, 'Raw data'!I:I,4)+COUNTIFS('Raw data'!L:L,"2",'Raw data'!AE:AE,1, 'Raw data'!I:I,4)+COUNTIFS('Raw data'!L:L,"3",'Raw data'!AE:AE,1, 'Raw data'!I:I,4)+COUNTIFS('Raw data'!L:L,"4",'Raw data'!AE:AE,1, 'Raw data'!I:I,4)</f>
        <v>0</v>
      </c>
      <c r="I22" s="124">
        <f>IFERROR(H22/(H7-(COUNTIFS('Raw data'!K:K,"1",'Raw data'!I:I,"4",'Raw data'!AE:AE,""))),0)</f>
        <v>0</v>
      </c>
      <c r="J22" s="162">
        <f>COUNTIFS('Raw data'!L:L,"1",'Raw data'!AE:AE,1, 'Raw data'!I:I,5)+COUNTIFS('Raw data'!L:L,"2",'Raw data'!AE:AE,1, 'Raw data'!I:I,5)+COUNTIFS('Raw data'!L:L,"3",'Raw data'!AE:AE,1, 'Raw data'!I:I,5)+COUNTIFS('Raw data'!L:L,"4",'Raw data'!AE:AE,1, 'Raw data'!I:I,5)</f>
        <v>0</v>
      </c>
      <c r="K22" s="283">
        <f>IFERROR(J22/(J7-(COUNTIFS('Raw data'!K:K,"1",'Raw data'!I:I,"5",'Raw data'!AE:AE,""))),0)</f>
        <v>0</v>
      </c>
      <c r="L22" s="108">
        <f>COUNTIFS('Raw data'!L:L,"1",'Raw data'!AE:AE,1, 'Raw data'!I:I,6)+COUNTIFS('Raw data'!L:L,"2",'Raw data'!AE:AE,1, 'Raw data'!I:I,6)+COUNTIFS('Raw data'!L:L,"3",'Raw data'!AE:AE,1, 'Raw data'!I:I,6)+COUNTIFS('Raw data'!L:L,"4",'Raw data'!AE:AE,1, 'Raw data'!I:I,6)</f>
        <v>0</v>
      </c>
      <c r="M22" s="109">
        <f>IFERROR(L22/(L7-(COUNTIFS('Raw data'!K:K,"1",'Raw data'!I:I,"6",'Raw data'!AE:AE,""))),0)</f>
        <v>0</v>
      </c>
      <c r="N22" s="115">
        <f>COUNTIFS('Raw data'!L:L,"1",'Raw data'!AE:AE,1, 'Raw data'!I:I,7)+COUNTIFS('Raw data'!L:L,"2",'Raw data'!AE:AE,1, 'Raw data'!I:I,7)+COUNTIFS('Raw data'!L:L,"3",'Raw data'!AE:AE,1, 'Raw data'!I:I,7)+COUNTIFS('Raw data'!L:L,"4",'Raw data'!AE:AE,1, 'Raw data'!I:I,7)</f>
        <v>0</v>
      </c>
      <c r="O22" s="284">
        <f>IFERROR(N22/(N7-(COUNTIFS('Raw data'!K:K,"1",'Raw data'!I:I,"7",'Raw data'!AE:AE,""))),0)</f>
        <v>0</v>
      </c>
      <c r="P22" s="115">
        <f>COUNTIFS('Raw data'!L:L,"1",'Raw data'!AE:AE,1, 'Raw data'!I:I,8)+COUNTIFS('Raw data'!L:L,"2",'Raw data'!AE:AE,1, 'Raw data'!I:I,1)+COUNTIFS('Raw data'!L:L,"3",'Raw data'!AE:AE,1, 'Raw data'!I:I,8)+COUNTIFS('Raw data'!L:L,"4",'Raw data'!AE:AE,1, 'Raw data'!I:I,8)</f>
        <v>0</v>
      </c>
      <c r="Q22" s="192">
        <f>IFERROR(P22/(P7-(COUNTIFS('Raw data'!K:K,"1",'Raw data'!I:I,"8",'Raw data'!AE:AE,""))),0)</f>
        <v>0</v>
      </c>
      <c r="R22" s="115">
        <f>COUNTIFS('Raw data'!L:L,"1",'Raw data'!AE:AE,1, 'Raw data'!I:I,9)+COUNTIFS('Raw data'!L:L,"2",'Raw data'!AE:AE,1, 'Raw data'!I:I,9)+COUNTIFS('Raw data'!L:L,"3",'Raw data'!AE:AE,1, 'Raw data'!I:I,9)+COUNTIFS('Raw data'!L:L,"4",'Raw data'!AE:AE,1, 'Raw data'!I:I,9)</f>
        <v>0</v>
      </c>
      <c r="S22" s="284">
        <f>IFERROR(R22/(R7-(COUNTIFS('Raw data'!K:K,"1",'Raw data'!I:I,"9",'Raw data'!AE:AE,""))),0)</f>
        <v>0</v>
      </c>
      <c r="T22" s="108">
        <f>COUNTIFS('Raw data'!L:L,"1",'Raw data'!AE:AE,1, 'Raw data'!I:I,10)+COUNTIFS('Raw data'!L:L,"2",'Raw data'!AE:AE,1, 'Raw data'!I:I,10)+COUNTIFS('Raw data'!L:L,"3",'Raw data'!AE:AE,1, 'Raw data'!I:I,10)+COUNTIFS('Raw data'!L:L,"4",'Raw data'!AE:AE,1, 'Raw data'!I:I,10)</f>
        <v>0</v>
      </c>
      <c r="U22" s="109">
        <f>IFERROR(T22/(T7-(COUNTIFS('Raw data'!K:K,"1",'Raw data'!I:I,"10",'Raw data'!AE:AE,""))),0)</f>
        <v>0</v>
      </c>
      <c r="W22" s="4"/>
      <c r="X22" s="4"/>
      <c r="Y22" s="4"/>
    </row>
    <row r="23" spans="1:25" ht="33" thickBot="1" x14ac:dyDescent="0.25">
      <c r="A23" s="171" t="s">
        <v>264</v>
      </c>
      <c r="B23" s="166">
        <f>COUNTIFS('Raw data'!L:L,"1",'Raw data'!AG:AG,1, 'Raw data'!I:I,1)+COUNTIFS('Raw data'!L:L,"2",'Raw data'!AG:AG,1, 'Raw data'!I:I,1)+COUNTIFS('Raw data'!L:L,"3",'Raw data'!AG:AG,1, 'Raw data'!I:I,1)+COUNTIFS('Raw data'!L:L,"4",'Raw data'!AG:AG,1, 'Raw data'!I:I,1)</f>
        <v>0</v>
      </c>
      <c r="C23" s="247">
        <f>IFERROR(B23/(B7-(COUNTIFS('Raw data'!K:K,"1",'Raw data'!I:I,"1",'Raw data'!AG:AG,""))), 0)</f>
        <v>0</v>
      </c>
      <c r="D23" s="166">
        <f>COUNTIFS('Raw data'!L:L,"1",'Raw data'!AG:AG,1, 'Raw data'!I:I,2)+COUNTIFS('Raw data'!L:L,"2",'Raw data'!AG:AG,1, 'Raw data'!I:I,2)+COUNTIFS('Raw data'!L:L,"3",'Raw data'!AG:AG,1, 'Raw data'!I:I,2)+COUNTIFS('Raw data'!L:L,"4",'Raw data'!AG:AG,1, 'Raw data'!I:I,2)</f>
        <v>0</v>
      </c>
      <c r="E23" s="279">
        <f>IFERROR(D23/(D7-(COUNTIFS('Raw data'!K:K,"1",'Raw data'!I:I,"2",'Raw data'!AG:AG,""))),0)</f>
        <v>0</v>
      </c>
      <c r="F23" s="165">
        <f>COUNTIFS('Raw data'!L:L,"1",'Raw data'!AG:AG,1, 'Raw data'!I:I,3)+COUNTIFS('Raw data'!L:L,"2",'Raw data'!AG:AG,1, 'Raw data'!I:I,3)+COUNTIFS('Raw data'!L:L,"3",'Raw data'!AG:AG,1, 'Raw data'!I:I,3)+COUNTIFS('Raw data'!L:L,"4",'Raw data'!AG:AG,1, 'Raw data'!I:I,3)</f>
        <v>0</v>
      </c>
      <c r="G23" s="279">
        <f>IFERROR(F23/(F7-(COUNTIFS('Raw data'!K:K,"1",'Raw data'!I:I,"3",'Raw data'!AG:AG,""))),0)</f>
        <v>0</v>
      </c>
      <c r="H23" s="165">
        <f>COUNTIFS('Raw data'!L:L,"1",'Raw data'!AG:AG,1, 'Raw data'!I:I,4)+COUNTIFS('Raw data'!L:L,"2",'Raw data'!AG:AG,1, 'Raw data'!I:I,4)+COUNTIFS('Raw data'!L:L,3,'Raw data'!AG:AG,1, 'Raw data'!I:I,4)+COUNTIFS('Raw data'!L:L,"4",'Raw data'!AG:AG,1, 'Raw data'!I:I,4)</f>
        <v>0</v>
      </c>
      <c r="I23" s="279">
        <f>IFERROR(H23/(H7-(COUNTIFS('Raw data'!K:K,"1",'Raw data'!I:I,"4",'Raw data'!AG:AG,""))),0)</f>
        <v>0</v>
      </c>
      <c r="J23" s="172">
        <f>COUNTIFS('Raw data'!L:L,"1",'Raw data'!AG:AG,1, 'Raw data'!I:I,5)+COUNTIFS('Raw data'!L:L,"2",'Raw data'!AG:AG,1, 'Raw data'!I:I,5)+COUNTIFS('Raw data'!L:L,"3",'Raw data'!AG:AG,1, 'Raw data'!I:I,5)+COUNTIFS('Raw data'!L:L,"4",'Raw data'!AG:AG,1, 'Raw data'!I:I,5)</f>
        <v>0</v>
      </c>
      <c r="K23" s="285">
        <f>IFERROR(J23/(J7-(COUNTIFS('Raw data'!K:K,"1",'Raw data'!I:I,"5",'Raw data'!AG:AG,""))),0)</f>
        <v>0</v>
      </c>
      <c r="L23" s="166">
        <f>COUNTIFS('Raw data'!L:L,"1",'Raw data'!AG:AG,1, 'Raw data'!I:I,6)+COUNTIFS('Raw data'!L:L,"2",'Raw data'!AG:AG,1, 'Raw data'!I:I,6)+COUNTIFS('Raw data'!L:L,"3",'Raw data'!AG:AG,1, 'Raw data'!I:I,6)+COUNTIFS('Raw data'!L:L,"4",'Raw data'!AG:AG,1, 'Raw data'!I:I,6)</f>
        <v>0</v>
      </c>
      <c r="M23" s="247">
        <f>IFERROR(L23/(L7-(COUNTIFS('Raw data'!K:K,"1",'Raw data'!I:I,"6",'Raw data'!AG:AG,""))),0)</f>
        <v>0</v>
      </c>
      <c r="N23" s="166">
        <f>COUNTIFS('Raw data'!L:L,"1",'Raw data'!AG:AG,1, 'Raw data'!I:I,7)+COUNTIFS('Raw data'!L:L,"2",'Raw data'!AG:AG,1, 'Raw data'!I:I,7)+COUNTIFS('Raw data'!L:L,"3",'Raw data'!AG:AG,1, 'Raw data'!I:I,7)+COUNTIFS('Raw data'!L:L,"4",'Raw data'!AG:AG,1, 'Raw data'!I:I,7)</f>
        <v>0</v>
      </c>
      <c r="O23" s="281">
        <f>IFERROR(N23/(N7-(COUNTIFS('Raw data'!K:K,"1",'Raw data'!I:I,"7",'Raw data'!AG:AG,""))),0)</f>
        <v>0</v>
      </c>
      <c r="P23" s="166">
        <f>COUNTIFS('Raw data'!L:L,"1",'Raw data'!AG:AG,1, 'Raw data'!I:I,8)+COUNTIFS('Raw data'!L:L,"2",'Raw data'!AG:AG,1, 'Raw data'!I:I,8)+COUNTIFS('Raw data'!L:L,"3",'Raw data'!AG:AG,1, 'Raw data'!I:I,8)+COUNTIFS('Raw data'!L:L,"4",'Raw data'!AG:AG,1, 'Raw data'!I:I,8)</f>
        <v>0</v>
      </c>
      <c r="Q23" s="247">
        <f>IFERROR(P23/(P7-(COUNTIFS('Raw data'!K:K,"1",'Raw data'!I:I,"8",'Raw data'!AG:AG,""))),0)</f>
        <v>0</v>
      </c>
      <c r="R23" s="166">
        <f>COUNTIFS('Raw data'!L:L,"1",'Raw data'!AG:AG,1, 'Raw data'!I:I,9)+COUNTIFS('Raw data'!L:L,"2",'Raw data'!AG:AG,1, 'Raw data'!I:I,9)+COUNTIFS('Raw data'!L:L,"3",'Raw data'!AG:AG,1, 'Raw data'!I:I,9)+COUNTIFS('Raw data'!L:L,"4",'Raw data'!AG:AG,1, 'Raw data'!I:I,9)</f>
        <v>0</v>
      </c>
      <c r="S23" s="281">
        <f>IFERROR(R23/(R7-(COUNTIFS('Raw data'!K:K,"1",'Raw data'!I:I,"9",'Raw data'!AG:AG,""))),0)</f>
        <v>0</v>
      </c>
      <c r="T23" s="166">
        <f>COUNTIFS('Raw data'!L:L,"1",'Raw data'!AG:AG,1, 'Raw data'!I:I,10)+COUNTIFS('Raw data'!L:L,"2",'Raw data'!AG:AG,1, 'Raw data'!I:I,10)+COUNTIFS('Raw data'!L:L,"3",'Raw data'!AG:AG,1, 'Raw data'!I:I,10)+COUNTIFS('Raw data'!L:L,"4",'Raw data'!AG:AG,1, 'Raw data'!I:I,10)</f>
        <v>0</v>
      </c>
      <c r="U23" s="247">
        <f>IFERROR(T23/(T7-(COUNTIFS('Raw data'!K:K,"1",'Raw data'!I:I,"10",'Raw data'!AG:AG,""))),0)</f>
        <v>0</v>
      </c>
      <c r="W23" s="4"/>
      <c r="X23" s="4"/>
      <c r="Y23" s="4"/>
    </row>
    <row r="24" spans="1:25" ht="43.25" customHeight="1" thickBot="1" x14ac:dyDescent="0.25">
      <c r="A24" s="173"/>
      <c r="B24" s="174"/>
      <c r="C24" s="175"/>
      <c r="D24" s="174"/>
      <c r="E24" s="175"/>
      <c r="F24" s="174"/>
      <c r="G24" s="175"/>
      <c r="H24" s="174"/>
      <c r="I24" s="175"/>
      <c r="J24" s="174"/>
      <c r="K24" s="175"/>
      <c r="L24" s="174"/>
      <c r="M24" s="175"/>
      <c r="N24" s="174"/>
      <c r="O24" s="175"/>
      <c r="P24" s="174"/>
      <c r="Q24" s="175"/>
      <c r="R24" s="174"/>
      <c r="S24" s="175"/>
      <c r="T24" s="174"/>
      <c r="U24" s="175"/>
      <c r="W24" s="4"/>
      <c r="X24" s="4"/>
      <c r="Y24" s="4"/>
    </row>
    <row r="25" spans="1:25" ht="16" x14ac:dyDescent="0.2">
      <c r="A25" s="71" t="s">
        <v>243</v>
      </c>
      <c r="B25" s="72" t="s">
        <v>252</v>
      </c>
      <c r="C25" s="73" t="s">
        <v>239</v>
      </c>
      <c r="D25" s="72" t="s">
        <v>252</v>
      </c>
      <c r="E25" s="73" t="s">
        <v>239</v>
      </c>
      <c r="F25" s="72" t="s">
        <v>252</v>
      </c>
      <c r="G25" s="73" t="s">
        <v>239</v>
      </c>
      <c r="H25" s="72" t="s">
        <v>252</v>
      </c>
      <c r="I25" s="73" t="s">
        <v>239</v>
      </c>
      <c r="J25" s="72" t="s">
        <v>252</v>
      </c>
      <c r="K25" s="73" t="s">
        <v>239</v>
      </c>
      <c r="L25" s="72" t="s">
        <v>252</v>
      </c>
      <c r="M25" s="73" t="s">
        <v>239</v>
      </c>
      <c r="N25" s="72" t="s">
        <v>252</v>
      </c>
      <c r="O25" s="73" t="s">
        <v>239</v>
      </c>
      <c r="P25" s="72" t="s">
        <v>252</v>
      </c>
      <c r="Q25" s="73" t="s">
        <v>239</v>
      </c>
      <c r="R25" s="72" t="s">
        <v>252</v>
      </c>
      <c r="S25" s="73" t="s">
        <v>239</v>
      </c>
      <c r="T25" s="110" t="s">
        <v>252</v>
      </c>
      <c r="U25" s="123" t="s">
        <v>239</v>
      </c>
      <c r="W25" s="4"/>
      <c r="X25" s="4"/>
      <c r="Y25" s="4"/>
    </row>
    <row r="26" spans="1:25" ht="80" x14ac:dyDescent="0.2">
      <c r="A26" s="231" t="s">
        <v>265</v>
      </c>
      <c r="B26" s="61">
        <f>COUNTIFS('Raw data'!L:L,"1",'Raw data'!AH:AH,1, 'Raw data'!AI:AI,1,'Raw data'!AJ:AJ,1,'Raw data'!I:I,1)+COUNTIFS('Raw data'!L:L,"2",'Raw data'!AH:AH,1, 'Raw data'!AI:AI,1,'Raw data'!AJ:AJ,1,'Raw data'!I:I,1)+COUNTIFS('Raw data'!L:L,"3",'Raw data'!AH:AH,1, 'Raw data'!AI:AI,1,'Raw data'!AJ:AJ,1, 'Raw data'!I:I,1)+COUNTIFS('Raw data'!L:L,"4",'Raw data'!AH:AH,1, 'Raw data'!AI:AI,1,'Raw data'!AJ:AJ,1, 'Raw data'!I:I,1)</f>
        <v>0</v>
      </c>
      <c r="C26" s="63">
        <f>IFERROR(B26/(B7-(COUNTIFS('Raw data'!K:K,"1",'Raw data'!I:I,"1",'Raw data'!AH:AH,""))-(COUNTIFS('Raw data'!K:K,"1",'Raw data'!I:I,"1",'Raw data'!AI:AI,""))-(COUNTIFS('Raw data'!K:K,"1",'Raw data'!I:I,"1",'Raw data'!AJ:AJ,""))), 0)</f>
        <v>0</v>
      </c>
      <c r="D26" s="61">
        <f>COUNTIFS('Raw data'!L:L,"1",'Raw data'!AH:AH,1, 'Raw data'!AI:AI,1,'Raw data'!AJ:AJ,1,'Raw data'!I:I,2)+COUNTIFS('Raw data'!L:L,"2",'Raw data'!AH:AH,1, 'Raw data'!AI:AI,1,'Raw data'!AJ:AJ,1,'Raw data'!I:I,2)+COUNTIFS('Raw data'!L:L,"3",'Raw data'!AH:AH,1, 'Raw data'!AI:AI,1,'Raw data'!AJ:AJ,1, 'Raw data'!I:I,2)+COUNTIFS('Raw data'!L:L,"4",'Raw data'!AH:AH,1, 'Raw data'!AI:AI,1,'Raw data'!AJ:AJ,1, 'Raw data'!I:I,2)</f>
        <v>0</v>
      </c>
      <c r="E26" s="63">
        <f>IFERROR(D26/(D7-(COUNTIFS('Raw data'!K:K,"1",'Raw data'!I:I,"2",'Raw data'!AH:AH,""))-(COUNTIFS('Raw data'!K:K,"1",'Raw data'!I:I,"2",'Raw data'!AI:AI,""))-(COUNTIFS('Raw data'!K:K,"1",'Raw data'!I:I,"2",'Raw data'!AJ:AJ,""))), 0)</f>
        <v>0</v>
      </c>
      <c r="F26" s="61">
        <f>COUNTIFS('Raw data'!L:L,"1",'Raw data'!AH:AH,1, 'Raw data'!AI:AI,1,'Raw data'!AJ:AJ,1,'Raw data'!I:I,3)+COUNTIFS('Raw data'!L:L,"2",'Raw data'!AH:AH,1, 'Raw data'!AI:AI,1,'Raw data'!AJ:AJ,1,'Raw data'!I:I,3)+COUNTIFS('Raw data'!L:L,"3",'Raw data'!AH:AH,1, 'Raw data'!AI:AI,1,'Raw data'!AJ:AJ,1, 'Raw data'!I:I,3)+COUNTIFS('Raw data'!L:L,"4",'Raw data'!AH:AH,1, 'Raw data'!AI:AI,1,'Raw data'!AJ:AJ,1, 'Raw data'!I:I,3)</f>
        <v>0</v>
      </c>
      <c r="G26" s="63">
        <f>IFERROR(F26/(F7-(COUNTIFS('Raw data'!K:K,"1",'Raw data'!I:I,"3",'Raw data'!AH:AH,""))-(COUNTIFS('Raw data'!K:K,"1",'Raw data'!I:I,"3",'Raw data'!AI:AI,""))-(COUNTIFS('Raw data'!K:K,"1",'Raw data'!I:I,"3",'Raw data'!AJ:AJ,""))), 0)</f>
        <v>0</v>
      </c>
      <c r="H26" s="61">
        <f>COUNTIFS('Raw data'!L:L,"1",'Raw data'!AH:AH,1, 'Raw data'!AI:AI,1,'Raw data'!AJ:AJ,1,'Raw data'!I:I,4)+COUNTIFS('Raw data'!L:L,"2",'Raw data'!AH:AH,1, 'Raw data'!AI:AI,1,'Raw data'!AJ:AJ,1,'Raw data'!I:I,4)+COUNTIFS('Raw data'!L:L,"3",'Raw data'!AH:AH,1, 'Raw data'!AI:AI,1,'Raw data'!AJ:AJ,1, 'Raw data'!I:I,4)+COUNTIFS('Raw data'!L:L,"4",'Raw data'!AH:AH,1, 'Raw data'!AI:AI,1,'Raw data'!AJ:AJ,1, 'Raw data'!I:I,4)</f>
        <v>0</v>
      </c>
      <c r="I26" s="63">
        <f>IFERROR(H26/(H7-(COUNTIFS('Raw data'!K:K,"1",'Raw data'!I:I,"4",'Raw data'!AH:AH,""))-(COUNTIFS('Raw data'!K:K,"1",'Raw data'!I:I,"4",'Raw data'!AI:AI,""))-(COUNTIFS('Raw data'!K:K,"1",'Raw data'!I:I,"4",'Raw data'!AJ:AJ,""))), 0)</f>
        <v>0</v>
      </c>
      <c r="J26" s="61">
        <f>COUNTIFS('Raw data'!L:L,"1",'Raw data'!AH:AH,1, 'Raw data'!AI:AI,1,'Raw data'!AJ:AJ,1,'Raw data'!I:I,5)+COUNTIFS('Raw data'!L:L,"2",'Raw data'!AH:AH,1, 'Raw data'!AI:AI,1,'Raw data'!AJ:AJ,1,'Raw data'!I:I,5)+COUNTIFS('Raw data'!L:L,"3",'Raw data'!AH:AH,1, 'Raw data'!AI:AI,1,'Raw data'!AJ:AJ,1, 'Raw data'!I:I,5)+COUNTIFS('Raw data'!L:L,"4",'Raw data'!AH:AH,1, 'Raw data'!AI:AI,1,'Raw data'!AJ:AJ,1, 'Raw data'!I:I,5)</f>
        <v>0</v>
      </c>
      <c r="K26" s="63">
        <f>IFERROR(J26/(J7-(COUNTIFS('Raw data'!K:K,"1",'Raw data'!I:I,"5",'Raw data'!AH:AH,""))-(COUNTIFS('Raw data'!K:K,"1",'Raw data'!I:I,"5",'Raw data'!AI:AI,""))-(COUNTIFS('Raw data'!K:K,"1",'Raw data'!I:I,"5",'Raw data'!AJ:AJ,""))), 0)</f>
        <v>0</v>
      </c>
      <c r="L26" s="61">
        <f>COUNTIFS('Raw data'!L:L,"1",'Raw data'!AH:AH,1, 'Raw data'!AI:AI,1,'Raw data'!AJ:AJ,1,'Raw data'!I:I,6)+COUNTIFS('Raw data'!L:L,"2",'Raw data'!AH:AH,1, 'Raw data'!AI:AI,1,'Raw data'!AJ:AJ,1,'Raw data'!I:I,6)+COUNTIFS('Raw data'!L:L,"3",'Raw data'!AH:AH,1, 'Raw data'!AI:AI,1,'Raw data'!AJ:AJ,1, 'Raw data'!I:I,6)+COUNTIFS('Raw data'!L:L,"4",'Raw data'!AH:AH,1, 'Raw data'!AI:AI,1,'Raw data'!AJ:AJ,1, 'Raw data'!I:I,6)</f>
        <v>0</v>
      </c>
      <c r="M26" s="63">
        <f>IFERROR(L26/(L7-(COUNTIFS('Raw data'!K:K,"1",'Raw data'!I:I,"6",'Raw data'!AH:AH,""))-(COUNTIFS('Raw data'!K:K,"1",'Raw data'!I:I,"6",'Raw data'!AI:AI,""))-(COUNTIFS('Raw data'!K:K,"1",'Raw data'!I:I,"6",'Raw data'!AJ:AJ,""))), 0)</f>
        <v>0</v>
      </c>
      <c r="N26" s="115">
        <f>COUNTIFS('Raw data'!L:L,"1",'Raw data'!AH:AH,1, 'Raw data'!AI:AI,1,'Raw data'!AJ:AJ,1,'Raw data'!I:I,7)+COUNTIFS('Raw data'!L:L,"2",'Raw data'!AH:AH,1, 'Raw data'!AI:AI,1,'Raw data'!AJ:AJ,1,'Raw data'!I:I,7)+COUNTIFS('Raw data'!L:L,"3",'Raw data'!AH:AH,1, 'Raw data'!AI:AI,1,'Raw data'!AJ:AJ,1, 'Raw data'!I:I,7)+COUNTIFS('Raw data'!L:L,"4",'Raw data'!AH:AH,1, 'Raw data'!AI:AI,1,'Raw data'!AJ:AJ,1, 'Raw data'!I:I,7)</f>
        <v>0</v>
      </c>
      <c r="O26" s="192">
        <f>IFERROR(N26/(N7-(COUNTIFS('Raw data'!K:K,"1",'Raw data'!I:I,"7",'Raw data'!AH:AH,""))-(COUNTIFS('Raw data'!K:K,"1",'Raw data'!I:I,"7",'Raw data'!AI:AI,""))-(COUNTIFS('Raw data'!K:K,"1",'Raw data'!I:I,"7",'Raw data'!AJ:AJ,""))), 0)</f>
        <v>0</v>
      </c>
      <c r="P26" s="115">
        <f>COUNTIFS('Raw data'!L:L,"1",'Raw data'!AH:AH,1, 'Raw data'!AI:AI,1,'Raw data'!AJ:AJ,1,'Raw data'!I:I,8)+COUNTIFS('Raw data'!L:L,"2",'Raw data'!AH:AH,1, 'Raw data'!AI:AI,1,'Raw data'!AJ:AJ,1,'Raw data'!I:I,8)+COUNTIFS('Raw data'!L:L,"3",'Raw data'!AH:AH,1, 'Raw data'!AI:AI,1,'Raw data'!AJ:AJ,1, 'Raw data'!I:I,8)+COUNTIFS('Raw data'!L:L,"4",'Raw data'!AH:AH,1, 'Raw data'!AI:AI,1,'Raw data'!AJ:AJ,1, 'Raw data'!I:I,8)</f>
        <v>0</v>
      </c>
      <c r="Q26" s="232">
        <f>IFERROR(P26/(P7-(COUNTIFS('Raw data'!K:K,"1",'Raw data'!I:I,"8",'Raw data'!AH:AH,""))-(COUNTIFS('Raw data'!K:K,"1",'Raw data'!I:I,"8",'Raw data'!AI:AI,""))-(COUNTIFS('Raw data'!K:K,"1",'Raw data'!I:I,"8",'Raw data'!AJ:AJ,""))), 0)</f>
        <v>0</v>
      </c>
      <c r="R26" s="61">
        <f>COUNTIFS('Raw data'!L:L,"1",'Raw data'!AH:AH,1, 'Raw data'!AI:AI,1,'Raw data'!AJ:AJ,1,'Raw data'!I:I,9)+COUNTIFS('Raw data'!L:L,"2",'Raw data'!AH:AH,1, 'Raw data'!AI:AI,1,'Raw data'!AJ:AJ,1,'Raw data'!I:I,9)+COUNTIFS('Raw data'!L:L,"3",'Raw data'!AH:AH,1, 'Raw data'!AI:AI,1,'Raw data'!AJ:AJ,1, 'Raw data'!I:I,9)+COUNTIFS('Raw data'!L:L,"4",'Raw data'!AH:AH,1, 'Raw data'!AI:AI,1,'Raw data'!AJ:AJ,1, 'Raw data'!I:I,9)</f>
        <v>0</v>
      </c>
      <c r="S26" s="63">
        <f>IFERROR(R26/(R7-(COUNTIFS('Raw data'!K:K,"1",'Raw data'!I:I,"9",'Raw data'!AH:AH,""))-(COUNTIFS('Raw data'!K:K,"1",'Raw data'!I:I,"9",'Raw data'!AI:AI,""))-(COUNTIFS('Raw data'!K:K,"1",'Raw data'!I:I,"9",'Raw data'!AJ:AJ,""))), 0)</f>
        <v>0</v>
      </c>
      <c r="T26" s="108">
        <f>COUNTIFS('Raw data'!L:L,"1",'Raw data'!AH:AH,1, 'Raw data'!AI:AI,1,'Raw data'!AJ:AJ,1,'Raw data'!I:I,10)+COUNTIFS('Raw data'!L:L,"2",'Raw data'!AH:AH,1, 'Raw data'!AI:AI,1,'Raw data'!AJ:AJ,1,'Raw data'!I:I,10)+COUNTIFS('Raw data'!L:L,"3",'Raw data'!AH:AH,1, 'Raw data'!AI:AI,1,'Raw data'!AJ:AJ,1, 'Raw data'!I:I,10)+COUNTIFS('Raw data'!L:L,"4",'Raw data'!AH:AH,1, 'Raw data'!AI:AI,1,'Raw data'!AJ:AJ,1, 'Raw data'!I:I,10)</f>
        <v>0</v>
      </c>
      <c r="U26" s="109">
        <f>IFERROR(T26/(T7-(COUNTIFS('Raw data'!K:K,"1",'Raw data'!I:I,"10",'Raw data'!AH:AH,""))-(COUNTIFS('Raw data'!K:K,"1",'Raw data'!I:I,"10",'Raw data'!AI:AI,""))-(COUNTIFS('Raw data'!K:K,"1",'Raw data'!I:I,"10",'Raw data'!AJ:AJ,""))), 0)</f>
        <v>0</v>
      </c>
      <c r="W26" s="4"/>
      <c r="X26" s="4"/>
      <c r="Y26" s="4"/>
    </row>
    <row r="27" spans="1:25" ht="33" thickBot="1" x14ac:dyDescent="0.25">
      <c r="A27" s="74" t="s">
        <v>269</v>
      </c>
      <c r="B27" s="113">
        <f>COUNTIFS('Raw data'!L:L,"1",'Raw data'!AK:AK,1, 'Raw data'!I:I,1)+COUNTIFS('Raw data'!L:L,"2",'Raw data'!AK:AK,1, 'Raw data'!I:I,1)+COUNTIFS('Raw data'!L:L,"3",'Raw data'!AK:AK,1, 'Raw data'!I:I,1)+COUNTIFS('Raw data'!L:L,"4",'Raw data'!AK:AK,1, 'Raw data'!I:I,1)</f>
        <v>0</v>
      </c>
      <c r="C27" s="286">
        <f>IFERROR(B27/(B7-(COUNTIFS('Raw data'!K:K,"1",'Raw data'!I:I,"1",'Raw data'!AK:AK,""))), 0)</f>
        <v>0</v>
      </c>
      <c r="D27" s="113">
        <f>COUNTIFS('Raw data'!L:L,"1",'Raw data'!AK:AK,1, 'Raw data'!I:I,2)+COUNTIFS('Raw data'!L:L,"2",'Raw data'!AK:AK,1, 'Raw data'!I:I,2)+COUNTIFS('Raw data'!L:L,"3",'Raw data'!AK:AK,1, 'Raw data'!I:I,2)+COUNTIFS('Raw data'!L:L,"4",'Raw data'!AK:AK,1, 'Raw data'!I:I,2)</f>
        <v>0</v>
      </c>
      <c r="E27" s="286">
        <f>IFERROR(D27/(D7-(COUNTIFS('Raw data'!K:K,"1",'Raw data'!I:I,"2",'Raw data'!AK:AK,""))),0)</f>
        <v>0</v>
      </c>
      <c r="F27" s="113">
        <f>COUNTIFS('Raw data'!L:L,"1",'Raw data'!AK:AK,1, 'Raw data'!I:I,3)+COUNTIFS('Raw data'!L:L,"2",'Raw data'!AK:AK,1, 'Raw data'!I:I,3)+COUNTIFS('Raw data'!L:L,"3",'Raw data'!AK:AK,1, 'Raw data'!I:I,3)+COUNTIFS('Raw data'!L:L,"4",'Raw data'!AK:AK,1, 'Raw data'!I:I,3)</f>
        <v>0</v>
      </c>
      <c r="G27" s="286">
        <f>IFERROR(F27/(F7-(COUNTIFS('Raw data'!K:K,"1",'Raw data'!I:I,"3",'Raw data'!AK:AK,""))),0)</f>
        <v>0</v>
      </c>
      <c r="H27" s="113">
        <f>COUNTIFS('Raw data'!L:L,"1",'Raw data'!AK:AK,1, 'Raw data'!I:I,4)+COUNTIFS('Raw data'!L:L,"2",'Raw data'!AK:AK,1, 'Raw data'!I:I,4)+COUNTIFS('Raw data'!L:L,"3",'Raw data'!AK:AK,1, 'Raw data'!I:I,4)+COUNTIFS('Raw data'!L:L,"4",'Raw data'!AK:AK,1, 'Raw data'!I:I,4)</f>
        <v>0</v>
      </c>
      <c r="I27" s="286">
        <f>IFERROR(H27/(H7-(COUNTIFS('Raw data'!K:K,"1",'Raw data'!I:I,"4",'Raw data'!AK:AK,""))),0)</f>
        <v>0</v>
      </c>
      <c r="J27" s="113">
        <f>COUNTIFS('Raw data'!L:L,"1",'Raw data'!AK:AK,1, 'Raw data'!I:I,5)+COUNTIFS('Raw data'!L:L,"2",'Raw data'!AK:AK,1, 'Raw data'!I:I,5)+COUNTIFS('Raw data'!L:L,"3",'Raw data'!AK:AK,1, 'Raw data'!I:I,5)+COUNTIFS('Raw data'!L:L,"4",'Raw data'!AK:AK,1, 'Raw data'!I:I,5)</f>
        <v>0</v>
      </c>
      <c r="K27" s="286">
        <f>IFERROR(J27/(J7-(COUNTIFS('Raw data'!K:K,"1",'Raw data'!I:I,"5",'Raw data'!AK:AK,""))),0)</f>
        <v>0</v>
      </c>
      <c r="L27" s="113">
        <f>COUNTIFS('Raw data'!L:L,"1",'Raw data'!AK:AK,1, 'Raw data'!I:I,6)+COUNTIFS('Raw data'!L:L,"2",'Raw data'!AK:AK,1, 'Raw data'!I:I,6)+COUNTIFS('Raw data'!L:L,"3",'Raw data'!AK:AK,1, 'Raw data'!I:I,6)+COUNTIFS('Raw data'!L:L,"4",'Raw data'!AK:AK,1, 'Raw data'!I:I,6)</f>
        <v>0</v>
      </c>
      <c r="M27" s="286">
        <f>IFERROR(L27/(L7-(COUNTIFS('Raw data'!K:K,"1",'Raw data'!I:I,"6",'Raw data'!AK:AK,""))),0)</f>
        <v>0</v>
      </c>
      <c r="N27" s="114">
        <f>COUNTIFS('Raw data'!L:L,"1",'Raw data'!AK:AK,1, 'Raw data'!I:I,7)+COUNTIFS('Raw data'!L:L,"2",'Raw data'!AK:AK,1, 'Raw data'!I:I,7)+COUNTIFS('Raw data'!L:L,"3",'Raw data'!AK:AK,1, 'Raw data'!I:I,7)+COUNTIFS('Raw data'!L:L,"4",'Raw data'!AK:AK,1, 'Raw data'!I:I,7)</f>
        <v>0</v>
      </c>
      <c r="O27" s="287">
        <f>IFERROR(N27/(N7-(COUNTIFS('Raw data'!K:K,"1",'Raw data'!I:I,"7",'Raw data'!AK:AK,""))),0)</f>
        <v>0</v>
      </c>
      <c r="P27" s="114">
        <f>COUNTIFS('Raw data'!L:L,"1",'Raw data'!AK:AK,1, 'Raw data'!I:I,8)+COUNTIFS('Raw data'!L:L,"2",'Raw data'!AK:AK,1, 'Raw data'!I:I,8)+COUNTIFS('Raw data'!L:L,"3",'Raw data'!AK:AK,1, 'Raw data'!I:I,8)+COUNTIFS('Raw data'!L:L,"4",'Raw data'!AK:AK,1, 'Raw data'!I:I,8)</f>
        <v>0</v>
      </c>
      <c r="Q27" s="288">
        <f>IFERROR(P27/(P7-(COUNTIFS('Raw data'!K:K,"1",'Raw data'!I:I,"8",'Raw data'!AK:AK,""))),0)</f>
        <v>0</v>
      </c>
      <c r="R27" s="113">
        <f>COUNTIFS('Raw data'!L:L,"1",'Raw data'!AK:AK,1, 'Raw data'!I:I,9)+COUNTIFS('Raw data'!L:L,"2",'Raw data'!AK:AK,1, 'Raw data'!I:I,9)+COUNTIFS('Raw data'!L:L,"3",'Raw data'!AK:AK,1, 'Raw data'!I:I,9)+COUNTIFS('Raw data'!L:L,"4",'Raw data'!AK:AK,1, 'Raw data'!I:I,9)</f>
        <v>0</v>
      </c>
      <c r="S27" s="286">
        <f>IFERROR(R27/(R7-(COUNTIFS('Raw data'!K:K,"1",'Raw data'!I:I,"9",'Raw data'!AK:AK,""))),0)</f>
        <v>0</v>
      </c>
      <c r="T27" s="114">
        <f>COUNTIFS('Raw data'!L:L,"1",'Raw data'!AK:AK,1, 'Raw data'!I:I,10)+COUNTIFS('Raw data'!L:L,"2",'Raw data'!AK:AK,1, 'Raw data'!I:I,10)+COUNTIFS('Raw data'!L:L,"3",'Raw data'!AK:AK,1, 'Raw data'!I:I,10)+COUNTIFS('Raw data'!L:L,"4",'Raw data'!AK:AK,1, 'Raw data'!I:I,10)</f>
        <v>0</v>
      </c>
      <c r="U27" s="287">
        <f>IFERROR(T27/(T7-(COUNTIFS('Raw data'!K:K,"1",'Raw data'!I:I,"10",'Raw data'!AK:AK,""))),0)</f>
        <v>0</v>
      </c>
      <c r="W27" s="4"/>
      <c r="X27" s="4"/>
      <c r="Y27" s="4"/>
    </row>
    <row r="28" spans="1:25" ht="17" thickBot="1" x14ac:dyDescent="0.25">
      <c r="A28" s="176"/>
      <c r="B28" s="177"/>
      <c r="C28" s="177"/>
      <c r="D28" s="178"/>
      <c r="E28" s="289"/>
      <c r="F28" s="178"/>
      <c r="G28" s="289"/>
      <c r="H28" s="178"/>
      <c r="I28" s="289"/>
      <c r="J28" s="178"/>
      <c r="K28" s="289"/>
      <c r="L28" s="178"/>
      <c r="M28" s="289"/>
      <c r="N28" s="178"/>
      <c r="O28" s="289"/>
      <c r="P28" s="178"/>
      <c r="Q28" s="289"/>
      <c r="R28" s="178"/>
      <c r="S28" s="289"/>
      <c r="T28" s="178"/>
      <c r="U28" s="289"/>
      <c r="W28" s="4"/>
      <c r="X28" s="4"/>
      <c r="Y28" s="4"/>
    </row>
    <row r="29" spans="1:25" ht="17" thickBot="1" x14ac:dyDescent="0.25">
      <c r="A29" s="78" t="s">
        <v>244</v>
      </c>
      <c r="B29" s="84" t="s">
        <v>252</v>
      </c>
      <c r="C29" s="85" t="s">
        <v>239</v>
      </c>
      <c r="D29" s="86" t="s">
        <v>252</v>
      </c>
      <c r="E29" s="87" t="s">
        <v>239</v>
      </c>
      <c r="F29" s="75" t="s">
        <v>252</v>
      </c>
      <c r="G29" s="76" t="s">
        <v>239</v>
      </c>
      <c r="H29" s="75" t="s">
        <v>252</v>
      </c>
      <c r="I29" s="76" t="s">
        <v>239</v>
      </c>
      <c r="J29" s="75" t="s">
        <v>252</v>
      </c>
      <c r="K29" s="76" t="s">
        <v>239</v>
      </c>
      <c r="L29" s="75" t="s">
        <v>252</v>
      </c>
      <c r="M29" s="76" t="s">
        <v>239</v>
      </c>
      <c r="N29" s="75" t="s">
        <v>252</v>
      </c>
      <c r="O29" s="76" t="s">
        <v>239</v>
      </c>
      <c r="P29" s="84" t="s">
        <v>252</v>
      </c>
      <c r="Q29" s="87" t="s">
        <v>239</v>
      </c>
      <c r="R29" s="84" t="s">
        <v>252</v>
      </c>
      <c r="S29" s="87" t="s">
        <v>239</v>
      </c>
      <c r="T29" s="84" t="s">
        <v>252</v>
      </c>
      <c r="U29" s="85" t="s">
        <v>239</v>
      </c>
      <c r="W29" s="4"/>
      <c r="X29" s="4"/>
      <c r="Y29" s="4"/>
    </row>
    <row r="30" spans="1:25" ht="83.5" customHeight="1" x14ac:dyDescent="0.2">
      <c r="A30" s="77" t="s">
        <v>318</v>
      </c>
      <c r="B30" s="69">
        <f>COUNTIFS('Raw data'!K:K,"1",'Raw data'!AL:AL,1,'Raw data'!AM:AM,1,'Raw data'!AN:AN,1,'Raw data'!I:I,1)</f>
        <v>0</v>
      </c>
      <c r="C30" s="70">
        <f>IFERROR(B30/(B7-(COUNTIFS('Raw data'!K:K,"1",'Raw data'!I:I,"1",'Raw data'!AL:AL,""))-(COUNTIFS('Raw data'!K:K,"1",'Raw data'!I:I,"1",'Raw data'!AM:AM,""))-(COUNTIFS('Raw data'!K:K,"1",'Raw data'!I:I,"1",'Raw data'!AN:AN,""))), 0)</f>
        <v>0</v>
      </c>
      <c r="D30" s="80">
        <f>COUNTIFS('Raw data'!K:K,"1",'Raw data'!AL:AL,1,'Raw data'!AM:AM,1,'Raw data'!AN:AN,1,'Raw data'!I:I,2)</f>
        <v>0</v>
      </c>
      <c r="E30" s="81">
        <f>IFERROR(D30/(D7-(COUNTIFS('Raw data'!K:K,"1",'Raw data'!I:I,"2",'Raw data'!AL:AL,""))-(COUNTIFS('Raw data'!K:K,"1",'Raw data'!I:I,"2",'Raw data'!AM:AM,""))-(COUNTIFS('Raw data'!K:K,"1",'Raw data'!I:I,"2",'Raw data'!AN:AN,""))), 0)</f>
        <v>0</v>
      </c>
      <c r="F30" s="106">
        <f>COUNTIFS('Raw data'!K:K,"1",'Raw data'!AL:AL,1,'Raw data'!AM:AM,1,'Raw data'!AN:AN,1,'Raw data'!I:I,3)</f>
        <v>0</v>
      </c>
      <c r="G30" s="107">
        <f>IFERROR(F30/(F7-(COUNTIFS('Raw data'!K:K,"1",'Raw data'!I:I,"3",'Raw data'!AL:AL,""))-(COUNTIFS('Raw data'!K:K,"1",'Raw data'!I:I,"3",'Raw data'!AM:AM,""))-(COUNTIFS('Raw data'!K:K,"1",'Raw data'!I:I,"3",'Raw data'!AN:AN,""))), 0)</f>
        <v>0</v>
      </c>
      <c r="H30" s="106">
        <f>COUNTIFS('Raw data'!K:K,"1",'Raw data'!AL:AL,1,'Raw data'!AM:AM,1,'Raw data'!AN:AN,1,'Raw data'!I:I,4)</f>
        <v>0</v>
      </c>
      <c r="I30" s="107">
        <f>IFERROR(H30/(H7-(COUNTIFS('Raw data'!K:K,"1",'Raw data'!I:I,"4",'Raw data'!AL:AL,""))-(COUNTIFS('Raw data'!K:K,"1",'Raw data'!I:I,"4",'Raw data'!AM:AM,""))-(COUNTIFS('Raw data'!K:K,"1",'Raw data'!I:I,"4",'Raw data'!AN:AN,""))), 0)</f>
        <v>0</v>
      </c>
      <c r="J30" s="106">
        <f>COUNTIFS('Raw data'!K:K,"1",'Raw data'!AL:AL,1,'Raw data'!AM:AM,1,'Raw data'!AN:AN,1,'Raw data'!I:I,5)</f>
        <v>0</v>
      </c>
      <c r="K30" s="107">
        <f>IFERROR(J30/(J7-(COUNTIFS('Raw data'!K:K,"1",'Raw data'!I:I,"5",'Raw data'!AL:AL,""))-(COUNTIFS('Raw data'!K:K,"1",'Raw data'!I:I,"5",'Raw data'!AM:AM,""))-(COUNTIFS('Raw data'!K:K,"1",'Raw data'!I:I,"5",'Raw data'!AN:AN,""))), 0)</f>
        <v>0</v>
      </c>
      <c r="L30" s="106">
        <f>COUNTIFS('Raw data'!K:K,"1",'Raw data'!AL:AL,1,'Raw data'!AM:AM,1,'Raw data'!AN:AN,1,'Raw data'!I:I,6)</f>
        <v>0</v>
      </c>
      <c r="M30" s="107">
        <f>IFERROR(L30/(L7-(COUNTIFS('Raw data'!K:K,"1",'Raw data'!I:I,"6",'Raw data'!AL:AL,""))-(COUNTIFS('Raw data'!K:K,"1",'Raw data'!I:I,"6",'Raw data'!AM:AM,""))-(COUNTIFS('Raw data'!K:K,"1",'Raw data'!I:I,"6",'Raw data'!AN:AN,""))), 0)</f>
        <v>0</v>
      </c>
      <c r="N30" s="106">
        <f>COUNTIFS('Raw data'!K:K,"1",'Raw data'!AL:AL,1,'Raw data'!AM:AM,1,'Raw data'!AN:AN,1,'Raw data'!I:I,7)</f>
        <v>0</v>
      </c>
      <c r="O30" s="107">
        <f>IFERROR(N30/(N7-(COUNTIFS('Raw data'!K:K,"1",'Raw data'!I:I,"7",'Raw data'!AL:AL,""))-(COUNTIFS('Raw data'!K:K,"1",'Raw data'!I:I,"7",'Raw data'!AM:AM,""))-(COUNTIFS('Raw data'!K:K,"1",'Raw data'!I:I,"7",'Raw data'!AN:AN,""))), 0)</f>
        <v>0</v>
      </c>
      <c r="P30" s="108">
        <f>COUNTIFS('Raw data'!K:K,"1",'Raw data'!AL:AL,1,'Raw data'!AM:AM,1,'Raw data'!AN:AN,1,'Raw data'!I:I,8)</f>
        <v>0</v>
      </c>
      <c r="Q30" s="109">
        <f>IFERROR(P30/(P7-(COUNTIFS('Raw data'!K:K,"1",'Raw data'!I:I,"8",'Raw data'!AL:AL,""))-(COUNTIFS('Raw data'!K:K,"1",'Raw data'!I:I,"8",'Raw data'!AM:AM,""))-(COUNTIFS('Raw data'!K:K,"1",'Raw data'!I:I,"8",'Raw data'!AN:AN,""))), 0)</f>
        <v>0</v>
      </c>
      <c r="R30" s="108">
        <f>COUNTIFS('Raw data'!K:K,"1",'Raw data'!AL:AL,1,'Raw data'!AM:AM,1,'Raw data'!AN:AN,1,'Raw data'!I:I,9)</f>
        <v>0</v>
      </c>
      <c r="S30" s="109">
        <f>IFERROR(R30/(R7-(COUNTIFS('Raw data'!K:K,"1",'Raw data'!I:I,"9",'Raw data'!AL:AL,""))-(COUNTIFS('Raw data'!K:K,"1",'Raw data'!I:I,"9",'Raw data'!AM:AM,""))-(COUNTIFS('Raw data'!K:K,"1",'Raw data'!I:I,"9",'Raw data'!AN:AN,""))), 0)</f>
        <v>0</v>
      </c>
      <c r="T30" s="108">
        <f>COUNTIFS('Raw data'!K:K,"1",'Raw data'!AL:AL,1,'Raw data'!AM:AM,1,'Raw data'!AN:AN,1,'Raw data'!I:I,10)</f>
        <v>0</v>
      </c>
      <c r="U30" s="124">
        <f>IFERROR(T30/(T7-(COUNTIFS('Raw data'!K:K,"1",'Raw data'!I:I,"10",'Raw data'!AL:AL,""))-(COUNTIFS('Raw data'!K:K,"1",'Raw data'!I:I,"10",'Raw data'!AM:AM,""))-(COUNTIFS('Raw data'!K:K,"1",'Raw data'!I:I,"10",'Raw data'!AN:AN,""))), 0)</f>
        <v>0</v>
      </c>
      <c r="W30" s="4"/>
      <c r="X30" s="4"/>
      <c r="Y30" s="4"/>
    </row>
    <row r="31" spans="1:25" ht="48" x14ac:dyDescent="0.2">
      <c r="A31" s="77" t="s">
        <v>273</v>
      </c>
      <c r="B31" s="61">
        <f>COUNTIFS('Raw data'!K:K,"1",'Raw data'!AO:AO,1,'Raw data'!I:I,1)</f>
        <v>0</v>
      </c>
      <c r="C31" s="63">
        <f>IFERROR(B31/(B7-COUNTIFS('Raw data'!K:K,"1",'Raw data'!AO:AO,3,'Raw data'!I:I,1)-(COUNTIFS('Raw data'!K:K,"1",'Raw data'!I:I,"1",'Raw data'!AO:AO,""))), 0)</f>
        <v>0</v>
      </c>
      <c r="D31" s="82">
        <f>COUNTIFS('Raw data'!K:K,"1",'Raw data'!AO:AO,1,'Raw data'!I:I,2)</f>
        <v>0</v>
      </c>
      <c r="E31" s="83">
        <f>IFERROR(D31/(D7-COUNTIFS('Raw data'!K:K,"1",'Raw data'!AO:AO,3,'Raw data'!I:I,"2")-(COUNTIFS('Raw data'!K:K,"1",'Raw data'!I:I,"2",'Raw data'!AO:AO,""))), 0)</f>
        <v>0</v>
      </c>
      <c r="F31" s="108">
        <f>COUNTIFS('Raw data'!K:K,"1",'Raw data'!AO:AO,1,'Raw data'!I:I,3)</f>
        <v>0</v>
      </c>
      <c r="G31" s="109">
        <f>IFERROR(F31/(F7-COUNTIFS('Raw data'!K:K,"1",'Raw data'!AO:AO,3,'Raw data'!I:I,3)-(COUNTIFS('Raw data'!K:K,"1",'Raw data'!I:I,"3",'Raw data'!AO:AO,""))), 0)</f>
        <v>0</v>
      </c>
      <c r="H31" s="108">
        <f>COUNTIFS('Raw data'!K:K,"1",'Raw data'!AO:AO,1,'Raw data'!I:I,4)</f>
        <v>0</v>
      </c>
      <c r="I31" s="109">
        <f>IFERROR(H31/(H7-COUNTIFS('Raw data'!K:K,"1",'Raw data'!AO:AO,3,'Raw data'!I:I,"4")-(COUNTIFS('Raw data'!K:K,"1",'Raw data'!I:I,"4",'Raw data'!AO:AO,""))), 0)</f>
        <v>0</v>
      </c>
      <c r="J31" s="108">
        <f>COUNTIFS('Raw data'!K:K,"1",'Raw data'!AO:AO,1,'Raw data'!I:I,5)</f>
        <v>0</v>
      </c>
      <c r="K31" s="109">
        <f>IFERROR(J31/(J7-COUNTIFS('Raw data'!K:K,"1",'Raw data'!AO:AO,3,'Raw data'!I:I,"5")-(COUNTIFS('Raw data'!K:K,"1",'Raw data'!I:I,"5",'Raw data'!AO:AO,""))), 0)</f>
        <v>0</v>
      </c>
      <c r="L31" s="108">
        <f>COUNTIFS('Raw data'!K:K,"1",'Raw data'!AO:AO,1,'Raw data'!I:I,6)</f>
        <v>0</v>
      </c>
      <c r="M31" s="109">
        <f>IFERROR(L31/(L7-COUNTIFS('Raw data'!K:K,"1",'Raw data'!AO:AO,3,'Raw data'!I:I,"6")-(COUNTIFS('Raw data'!K:K,"1",'Raw data'!I:I,"6",'Raw data'!AO:AO,""))), 0)</f>
        <v>0</v>
      </c>
      <c r="N31" s="108">
        <f>COUNTIFS('Raw data'!K:K,"1",'Raw data'!AO:AO,1,'Raw data'!I:I,7)</f>
        <v>0</v>
      </c>
      <c r="O31" s="109">
        <f>IFERROR(N31/(N7-COUNTIFS('Raw data'!K:K,"1",'Raw data'!AO:AO,3,'Raw data'!I:I,"7")-(COUNTIFS('Raw data'!K:K,"1",'Raw data'!I:I,"7",'Raw data'!AO:AO,""))), 0)</f>
        <v>0</v>
      </c>
      <c r="P31" s="108">
        <f>COUNTIFS('Raw data'!K:K,"1",'Raw data'!AO:AO,1,'Raw data'!I:I,8)</f>
        <v>0</v>
      </c>
      <c r="Q31" s="109">
        <f>IFERROR(P31/(P7-COUNTIFS('Raw data'!K:K,"1",'Raw data'!AO:AO,3,'Raw data'!I:I,"8")-(COUNTIFS('Raw data'!K:K,"1",'Raw data'!I:I,"8",'Raw data'!AO:AO,""))), 0)</f>
        <v>0</v>
      </c>
      <c r="R31" s="108">
        <f>COUNTIFS('Raw data'!K:K,"1",'Raw data'!AO:AO,1,'Raw data'!I:I,9)</f>
        <v>0</v>
      </c>
      <c r="S31" s="109">
        <f>IFERROR(R31/(R7-COUNTIFS('Raw data'!K:K,"1",'Raw data'!AO:AO,3,'Raw data'!I:I,"9")-(COUNTIFS('Raw data'!K:K,"1",'Raw data'!I:I,"9",'Raw data'!AO:AO,""))), 0)</f>
        <v>0</v>
      </c>
      <c r="T31" s="108">
        <f>COUNTIFS('Raw data'!K:K,"1",'Raw data'!AO:AO,1,'Raw data'!I:I,10)</f>
        <v>0</v>
      </c>
      <c r="U31" s="124">
        <f>IFERROR(T31/(T7-COUNTIFS('Raw data'!K:K,"1",'Raw data'!AO:AO,3,'Raw data'!I:I,"10")-(COUNTIFS('Raw data'!K:K,"1",'Raw data'!I:I,"10",'Raw data'!AO:AO,""))), 0)</f>
        <v>0</v>
      </c>
    </row>
    <row r="32" spans="1:25" ht="48" x14ac:dyDescent="0.2">
      <c r="A32" s="77" t="s">
        <v>277</v>
      </c>
      <c r="B32" s="61">
        <f>COUNTIFS('Raw data'!L:L,"1",'Raw data'!AR:AR,1,'Raw data'!AS:AS,1,'Raw data'!I:I,1)+COUNTIFS('Raw data'!L:L,"2",'Raw data'!AR:AR,1,'Raw data'!AS:AS,1, 'Raw data'!I:I,1)+COUNTIFS('Raw data'!L:L,"3",'Raw data'!AR:AR,1, 'Raw data'!AS:AS,1,'Raw data'!I:I,1)+COUNTIFS('Raw data'!L:L,"4",'Raw data'!AR:AR,1,'Raw data'!AS:AS,1, 'Raw data'!I:I,1)</f>
        <v>0</v>
      </c>
      <c r="C32" s="63">
        <f>IFERROR(B32/(B7-(COUNTIFS('Raw data'!K:K,"1",'Raw data'!I:I,"1",'Raw data'!AR:AR,"")+(COUNTIFS('Raw data'!K:K,"1",'Raw data'!I:I,"1",'Raw data'!AS:AS,"")))), 0)</f>
        <v>0</v>
      </c>
      <c r="D32" s="82">
        <f>COUNTIFS('Raw data'!L:L,"1",'Raw data'!AR:AR,1, 'Raw data'!AS:AS,1,'Raw data'!I:I,2)+COUNTIFS('Raw data'!L:L,"2",'Raw data'!AR:AR,1, 'Raw data'!AS:AS,1,'Raw data'!I:I,2)+COUNTIFS('Raw data'!L:L,"3",'Raw data'!AR:AR,1,'Raw data'!AS:AS,1, 'Raw data'!I:I,2)+COUNTIFS('Raw data'!L:L,"4",'Raw data'!AR:AR,1, 'Raw data'!AS:AS,1,'Raw data'!I:I,2)</f>
        <v>0</v>
      </c>
      <c r="E32" s="83">
        <f>IFERROR(D32/(D7-(COUNTIFS('Raw data'!K:K,"1",'Raw data'!I:I,"2",'Raw data'!AR:AR,"")+(COUNTIFS('Raw data'!K:K,"1",'Raw data'!I:I,"2",'Raw data'!AS:AS,"")))), 0)</f>
        <v>0</v>
      </c>
      <c r="F32" s="108">
        <f>COUNTIFS('Raw data'!L:L,"1",'Raw data'!AR:AR,1,'Raw data'!AS:AS,1, 'Raw data'!I:I,3)+COUNTIFS('Raw data'!L:L,"2",'Raw data'!AR:AR,1, 'Raw data'!AS:AS,1,'Raw data'!I:I,3)+COUNTIFS('Raw data'!L:L,"3",'Raw data'!AR:AR,1, 'Raw data'!AS:AS,1,'Raw data'!I:I,3)+COUNTIFS('Raw data'!L:L,"4",'Raw data'!AR:AR,1,'Raw data'!AS:AS,1, 'Raw data'!I:I,3)</f>
        <v>0</v>
      </c>
      <c r="G32" s="109">
        <f>IFERROR(F32/(F7-(COUNTIFS('Raw data'!K:K,"1",'Raw data'!I:I,"3",'Raw data'!AR:AR,"")+(COUNTIFS('Raw data'!K:K,"1",'Raw data'!I:I,"3",'Raw data'!AS:AS,"")))), 0)</f>
        <v>0</v>
      </c>
      <c r="H32" s="108">
        <f>COUNTIFS('Raw data'!L:L,"1",'Raw data'!AR:AR,1,'Raw data'!AS:AS,1, 'Raw data'!I:I,4)+COUNTIFS('Raw data'!L:L,"2",'Raw data'!AR:AR,1,'Raw data'!AS:AS,1, 'Raw data'!I:I,4)+COUNTIFS('Raw data'!L:L,"3",'Raw data'!AR:AR,1, 'Raw data'!AS:AS,1,'Raw data'!I:I,4)+COUNTIFS('Raw data'!L:L,"4",'Raw data'!AR:AR,1,'Raw data'!AS:AS,1, 'Raw data'!I:I,4)</f>
        <v>0</v>
      </c>
      <c r="I32" s="109">
        <f>IFERROR(H32/(H7-(COUNTIFS('Raw data'!K:K,"1",'Raw data'!I:I,"4",'Raw data'!AR:AR,"")+(COUNTIFS('Raw data'!K:K,"1",'Raw data'!I:I,"4",'Raw data'!AS:AS,"")))), 0)</f>
        <v>0</v>
      </c>
      <c r="J32" s="108">
        <f>COUNTIFS('Raw data'!L:L,"1",'Raw data'!AR:AR,1,'Raw data'!AS:AS,1, 'Raw data'!I:I,5)+COUNTIFS('Raw data'!L:L,"2",'Raw data'!AR:AR,1,'Raw data'!AS:AS,1, 'Raw data'!I:I,5)+COUNTIFS('Raw data'!L:L,"3",'Raw data'!AR:AR,1,'Raw data'!AS:AS,1, 'Raw data'!I:I,5)+COUNTIFS('Raw data'!L:L,"4",'Raw data'!AR:AR,1, 'Raw data'!AS:AS,1,'Raw data'!I:I,5)</f>
        <v>0</v>
      </c>
      <c r="K32" s="109">
        <f>IFERROR(J32/(J7-(COUNTIFS('Raw data'!K:K,"1",'Raw data'!I:I,"5",'Raw data'!AR:AR,"")+(COUNTIFS('Raw data'!K:K,"1",'Raw data'!I:I,"5",'Raw data'!AS:AS,"")))), 0)</f>
        <v>0</v>
      </c>
      <c r="L32" s="108">
        <f>COUNTIFS('Raw data'!L:L,"1",'Raw data'!AR:AR,1, 'Raw data'!AS:AS,1,'Raw data'!I:I,6)+COUNTIFS('Raw data'!L:L,"2",'Raw data'!AR:AR,1,'Raw data'!AS:AS,1, 'Raw data'!I:I,6)+COUNTIFS('Raw data'!L:L,"3",'Raw data'!AR:AR,1, 'Raw data'!AS:AS,1,'Raw data'!I:I,6)+COUNTIFS('Raw data'!L:L,"4",'Raw data'!AR:AR,1,'Raw data'!AS:AS,1, 'Raw data'!I:I,6)</f>
        <v>0</v>
      </c>
      <c r="M32" s="109">
        <f>IFERROR(L32/(L7-(COUNTIFS('Raw data'!K:K,"1",'Raw data'!I:I,"6",'Raw data'!AR:AR,"")+(COUNTIFS('Raw data'!K:K,"1",'Raw data'!I:I,"6",'Raw data'!AS:AS,"")))), 0)</f>
        <v>0</v>
      </c>
      <c r="N32" s="108">
        <f>COUNTIFS('Raw data'!L:L,"1",'Raw data'!AR:AR,1,'Raw data'!AS:AS,1, 'Raw data'!I:I,7)+COUNTIFS('Raw data'!L:L,"2",'Raw data'!AR:AR,1, 'Raw data'!AS:AS,1,'Raw data'!I:I,7)+COUNTIFS('Raw data'!L:L,"3",'Raw data'!AR:AR,1,'Raw data'!AS:AS,1, 'Raw data'!I:I,7)+COUNTIFS('Raw data'!L:L,"4",'Raw data'!AR:AR,1,'Raw data'!AS:AS,1, 'Raw data'!I:I,7)</f>
        <v>0</v>
      </c>
      <c r="O32" s="109">
        <f>IFERROR(N32/(N7-(COUNTIFS('Raw data'!K:K,"1",'Raw data'!I:I,"7",'Raw data'!AR:AR,"")+(COUNTIFS('Raw data'!K:K,"1",'Raw data'!I:I,"7",'Raw data'!AS:AS,"")))), 0)</f>
        <v>0</v>
      </c>
      <c r="P32" s="108">
        <f>COUNTIFS('Raw data'!L:L,"1",'Raw data'!AR:AR,1, 'Raw data'!AS:AS,1,'Raw data'!I:I,8)+COUNTIFS('Raw data'!L:L,"2",'Raw data'!AR:AR,1, 'Raw data'!AS:AS,1,'Raw data'!I:I,8)+COUNTIFS('Raw data'!L:L,"3",'Raw data'!AR:AR,1, 'Raw data'!AS:AS,1,'Raw data'!I:I,8)+COUNTIFS('Raw data'!L:L,"4",'Raw data'!AR:AR,1,'Raw data'!AS:AS,1, 'Raw data'!I:I,8)</f>
        <v>0</v>
      </c>
      <c r="Q32" s="109">
        <f>IFERROR(P32/(P7-(COUNTIFS('Raw data'!K:K,"1",'Raw data'!I:I,"8",'Raw data'!AR:AR,"")+(COUNTIFS('Raw data'!K:K,"1",'Raw data'!I:I,"8",'Raw data'!AS:AS,"")))), 0)</f>
        <v>0</v>
      </c>
      <c r="R32" s="108">
        <f>COUNTIFS('Raw data'!L:L,"1",'Raw data'!AR:AR,1, 'Raw data'!AS:AS,1,'Raw data'!I:I,9)+COUNTIFS('Raw data'!L:L,"2",'Raw data'!AR:AR,1,'Raw data'!AS:AS,1, 'Raw data'!I:I,9)+COUNTIFS('Raw data'!L:L,"3",'Raw data'!AR:AR,1, 'Raw data'!AS:AS,1,'Raw data'!I:I,9)+COUNTIFS('Raw data'!L:L,"4",'Raw data'!AR:AR,1, 'Raw data'!AS:AS,1,'Raw data'!I:I,9)</f>
        <v>0</v>
      </c>
      <c r="S32" s="109">
        <f>IFERROR(R32/(R7-(COUNTIFS('Raw data'!K:K,"1",'Raw data'!I:I,"9",'Raw data'!AR:AR,"")+(COUNTIFS('Raw data'!K:K,"1",'Raw data'!I:I,"9",'Raw data'!AS:AS,"")))), 0)</f>
        <v>0</v>
      </c>
      <c r="T32" s="108">
        <f>COUNTIFS('Raw data'!L:L,"1",'Raw data'!AR:AR,1, 'Raw data'!AS:AS,1,'Raw data'!I:I,10)+COUNTIFS('Raw data'!L:L,"2",'Raw data'!AR:AR,1, 'Raw data'!AS:AS,1,'Raw data'!I:I,10)+COUNTIFS('Raw data'!L:L,"3",'Raw data'!AR:AR,1,'Raw data'!AS:AS,1, 'Raw data'!I:I,10)+COUNTIFS('Raw data'!L:L,"4",'Raw data'!AR:AR,1,'Raw data'!AS:AS,1, 'Raw data'!I:I,10)</f>
        <v>0</v>
      </c>
      <c r="U32" s="124">
        <f>IFERROR(T32/(T7-(COUNTIFS('Raw data'!K:K,"1",'Raw data'!I:I,"10",'Raw data'!AR:AR,"")+(COUNTIFS('Raw data'!K:K,"1",'Raw data'!I:I,"10",'Raw data'!AS:AS,"")))), 0)</f>
        <v>0</v>
      </c>
    </row>
    <row r="33" spans="1:21" ht="32" x14ac:dyDescent="0.2">
      <c r="A33" s="79" t="s">
        <v>281</v>
      </c>
      <c r="B33" s="61">
        <f>COUNTIFS('Raw data'!L:L,"1",'Raw data'!AW:AW,1, 'Raw data'!I:I,1)+COUNTIFS('Raw data'!L:L,"2",'Raw data'!AW:AW,1, 'Raw data'!I:I,1)+COUNTIFS('Raw data'!L:L,"3",'Raw data'!AW:AW,1, 'Raw data'!I:I,1)+COUNTIFS('Raw data'!L:L,"4",'Raw data'!AW:AW,1, 'Raw data'!I:I,1)</f>
        <v>0</v>
      </c>
      <c r="C33" s="63">
        <f>IFERROR(B33/(B7-(COUNTIFS('Raw data'!K:K,"1",'Raw data'!I:I,"1",'Raw data'!AW:AW,""))), 0)</f>
        <v>0</v>
      </c>
      <c r="D33" s="82">
        <f>COUNTIFS('Raw data'!L:L,"1",'Raw data'!AW:AW,1, 'Raw data'!I:I,2)+COUNTIFS('Raw data'!L:L,"2",'Raw data'!AW:AW,1, 'Raw data'!I:I,2)+COUNTIFS('Raw data'!L:L,"3",'Raw data'!AW:AW,1, 'Raw data'!I:I,2)+COUNTIFS('Raw data'!L:L,"4",'Raw data'!AW:AW,1, 'Raw data'!I:I,2)</f>
        <v>0</v>
      </c>
      <c r="E33" s="83">
        <f>IFERROR(D33/(D7-(COUNTIFS('Raw data'!K:K,"1",'Raw data'!I:I,"2",'Raw data'!AW:AW,""))), 0)</f>
        <v>0</v>
      </c>
      <c r="F33" s="108">
        <f>COUNTIFS('Raw data'!L:L,"1",'Raw data'!AW:AW,1, 'Raw data'!I:I,3)+COUNTIFS('Raw data'!L:L,"2",'Raw data'!AW:AW,1, 'Raw data'!I:I,3)+COUNTIFS('Raw data'!L:L,"3",'Raw data'!AW:AW,1, 'Raw data'!I:I,3)+COUNTIFS('Raw data'!L:L,"4",'Raw data'!AW:AW,1, 'Raw data'!I:I,3)</f>
        <v>0</v>
      </c>
      <c r="G33" s="109">
        <f>IFERROR(F33/(F7-(COUNTIFS('Raw data'!K:K,"1",'Raw data'!I:I,"3",'Raw data'!AW:AW,""))),0)</f>
        <v>0</v>
      </c>
      <c r="H33" s="108">
        <f>COUNTIFS('Raw data'!L:L,"1",'Raw data'!AW:AW,1, 'Raw data'!I:I,4)+COUNTIFS('Raw data'!L:L,"2",'Raw data'!AW:AW,1, 'Raw data'!I:I,4)+COUNTIFS('Raw data'!L:L,"3",'Raw data'!AW:AW,1, 'Raw data'!I:I,4)+COUNTIFS('Raw data'!L:L,"4",'Raw data'!AW:AW,1, 'Raw data'!I:I,4)</f>
        <v>0</v>
      </c>
      <c r="I33" s="109">
        <f>IFERROR(H33/(H7-(COUNTIFS('Raw data'!K:K,"1",'Raw data'!I:I,"4",'Raw data'!AW:AW,""))),0)</f>
        <v>0</v>
      </c>
      <c r="J33" s="108">
        <f>COUNTIFS('Raw data'!L:L,"1",'Raw data'!AW:AW,1, 'Raw data'!I:I,5)+COUNTIFS('Raw data'!L:L,"2",'Raw data'!AW:AW,1, 'Raw data'!I:I,5)+COUNTIFS('Raw data'!L:L,"3",'Raw data'!AW:AW,1, 'Raw data'!I:I,5)+COUNTIFS('Raw data'!L:L,"4",'Raw data'!AW:AW,1, 'Raw data'!I:I,5)</f>
        <v>0</v>
      </c>
      <c r="K33" s="109">
        <f>IFERROR(J33/(J7-(COUNTIFS('Raw data'!K:K,"1",'Raw data'!I:I,"5",'Raw data'!AW:AW,""))),0)</f>
        <v>0</v>
      </c>
      <c r="L33" s="108">
        <f>COUNTIFS('Raw data'!L:L,"1",'Raw data'!AW:AW,1, 'Raw data'!I:I,6)+COUNTIFS('Raw data'!L:L,"2",'Raw data'!AW:AW,1, 'Raw data'!I:I,6)+COUNTIFS('Raw data'!L:L,"3",'Raw data'!AW:AW,1, 'Raw data'!I:I,6)+COUNTIFS('Raw data'!L:L,"4",'Raw data'!AW:AW,1, 'Raw data'!I:I,6)</f>
        <v>0</v>
      </c>
      <c r="M33" s="109">
        <f>IFERROR(L33/(L7-(COUNTIFS('Raw data'!K:K,"1",'Raw data'!I:I,"6",'Raw data'!AW:AW,""))),0)</f>
        <v>0</v>
      </c>
      <c r="N33" s="108">
        <f>COUNTIFS('Raw data'!L:L,"1",'Raw data'!AW:AW,1, 'Raw data'!I:I,7)+COUNTIFS('Raw data'!L:L,"2",'Raw data'!AW:AW,1, 'Raw data'!I:I,7)+COUNTIFS('Raw data'!L:L,"3",'Raw data'!AW:AW,1, 'Raw data'!I:I,7)+COUNTIFS('Raw data'!L:L,"4",'Raw data'!AW:AW,1, 'Raw data'!I:I,7)</f>
        <v>0</v>
      </c>
      <c r="O33" s="109">
        <f>IFERROR(N33/(N7-(COUNTIFS('Raw data'!K:K,"1",'Raw data'!I:I,"7",'Raw data'!AW:AW,""))),0)</f>
        <v>0</v>
      </c>
      <c r="P33" s="108">
        <f>COUNTIFS('Raw data'!L:L,"1",'Raw data'!AW:AW,1, 'Raw data'!I:I,8)+COUNTIFS('Raw data'!L:L,"2",'Raw data'!AW:AW,1, 'Raw data'!I:I,8)+COUNTIFS('Raw data'!L:L,"3",'Raw data'!AW:AW,1, 'Raw data'!I:I,8)+COUNTIFS('Raw data'!L:L,"4",'Raw data'!AW:AW,1, 'Raw data'!I:I,8)</f>
        <v>0</v>
      </c>
      <c r="Q33" s="109">
        <f>IFERROR(P33/(P7-(COUNTIFS('Raw data'!K:K,"1",'Raw data'!I:I,"8",'Raw data'!AW:AW,""))),0)</f>
        <v>0</v>
      </c>
      <c r="R33" s="108">
        <f>COUNTIFS('Raw data'!L:L,"1",'Raw data'!AW:AW,1, 'Raw data'!I:I,9)+COUNTIFS('Raw data'!L:L,"2",'Raw data'!AW:AW,1, 'Raw data'!I:I,9)+COUNTIFS('Raw data'!L:L,"3",'Raw data'!AW:AW,1, 'Raw data'!I:I,9)+COUNTIFS('Raw data'!L:L,"4",'Raw data'!AW:AW,1, 'Raw data'!I:I,9)</f>
        <v>0</v>
      </c>
      <c r="S33" s="109">
        <f>IFERROR(R33/(R7-(COUNTIFS('Raw data'!K:K,"1",'Raw data'!I:I,"9",'Raw data'!AW:AW,""))),0)</f>
        <v>0</v>
      </c>
      <c r="T33" s="108">
        <f>COUNTIFS('Raw data'!L:L,"1",'Raw data'!AW:AW,1, 'Raw data'!I:I,10)+COUNTIFS('Raw data'!L:L,"2",'Raw data'!AW:AW,1, 'Raw data'!I:I,10)+COUNTIFS('Raw data'!L:L,"3",'Raw data'!AW:AW,1, 'Raw data'!I:I,10)+COUNTIFS('Raw data'!L:L,"4",'Raw data'!AW:AW,1, 'Raw data'!I:I,10)</f>
        <v>0</v>
      </c>
      <c r="U33" s="124">
        <f>IFERROR(T33/(T7-(COUNTIFS('Raw data'!K:K,"1",'Raw data'!I:I,"10",'Raw data'!AW:AW,""))),0)</f>
        <v>0</v>
      </c>
    </row>
    <row r="34" spans="1:21" ht="32" x14ac:dyDescent="0.2">
      <c r="A34" s="79" t="s">
        <v>282</v>
      </c>
      <c r="B34" s="61">
        <f>COUNTIFS('Raw data'!L:L,"1",'Raw data'!AY:AY,1, 'Raw data'!I:I,1)+COUNTIFS('Raw data'!L:L,"2",'Raw data'!AY:AY,1, 'Raw data'!I:I,1)+COUNTIFS('Raw data'!L:L,"3",'Raw data'!AY:AY,1, 'Raw data'!I:I,1)+COUNTIFS('Raw data'!L:L,"4",'Raw data'!AY:AY,1, 'Raw data'!I:I,1)</f>
        <v>0</v>
      </c>
      <c r="C34" s="63">
        <f>IFERROR(B34/(B7-(COUNTIFS('Raw data'!K:K,"1",'Raw data'!I:I,"1",'Raw data'!AY:AY,""))), 0)</f>
        <v>0</v>
      </c>
      <c r="D34" s="82">
        <f>COUNTIFS('Raw data'!L:L,"1",'Raw data'!AY:AY,1, 'Raw data'!I:I,2)+COUNTIFS('Raw data'!L:L,"2",'Raw data'!AY:AY,1, 'Raw data'!I:I,2)+COUNTIFS('Raw data'!L:L,"3",'Raw data'!AY:AY,1, 'Raw data'!I:I,2)+COUNTIFS('Raw data'!L:L,"4",'Raw data'!AY:AY,1, 'Raw data'!I:I,2)</f>
        <v>0</v>
      </c>
      <c r="E34" s="83">
        <f>IFERROR(D34/(D7-(COUNTIFS('Raw data'!K:K,"1",'Raw data'!I:I,"2",'Raw data'!AY:AY,""))), 0)</f>
        <v>0</v>
      </c>
      <c r="F34" s="108">
        <f>COUNTIFS('Raw data'!L:L,"1",'Raw data'!AY:AY,1, 'Raw data'!I:I,3)+COUNTIFS('Raw data'!L:L,"2",'Raw data'!AY:AY,1, 'Raw data'!I:I,3)+COUNTIFS('Raw data'!L:L,"3",'Raw data'!AY:AY,1, 'Raw data'!I:I,3)+COUNTIFS('Raw data'!L:L,"4",'Raw data'!AY:AY,1, 'Raw data'!I:I,3)</f>
        <v>0</v>
      </c>
      <c r="G34" s="109">
        <f>IFERROR(F34/(F7-(COUNTIFS('Raw data'!K:K,"1",'Raw data'!I:I,"3",'Raw data'!AY:AY,""))),0)</f>
        <v>0</v>
      </c>
      <c r="H34" s="108">
        <f>COUNTIFS('Raw data'!L:L,"1",'Raw data'!AY:AY,1, 'Raw data'!I:I,4)+COUNTIFS('Raw data'!L:L,"2",'Raw data'!AY:AY,1, 'Raw data'!I:I,4)+COUNTIFS('Raw data'!L:L,"3",'Raw data'!AY:AY,1, 'Raw data'!I:I,4)+COUNTIFS('Raw data'!L:L,"4",'Raw data'!AY:AY,1, 'Raw data'!I:I,4)</f>
        <v>0</v>
      </c>
      <c r="I34" s="109">
        <f>IFERROR(H34/(H7-(COUNTIFS('Raw data'!K:K,"1",'Raw data'!I:I,"4",'Raw data'!AY:AY,""))),0)</f>
        <v>0</v>
      </c>
      <c r="J34" s="108">
        <f>COUNTIFS('Raw data'!L:L,"1",'Raw data'!AY:AY,1, 'Raw data'!I:I,5)+COUNTIFS('Raw data'!L:L,"2",'Raw data'!AY:AY,1, 'Raw data'!I:I,5)+COUNTIFS('Raw data'!L:L,"3",'Raw data'!AY:AY,1, 'Raw data'!I:I,5)+COUNTIFS('Raw data'!L:L,"4",'Raw data'!AY:AY,1, 'Raw data'!I:I,5)</f>
        <v>0</v>
      </c>
      <c r="K34" s="109">
        <f>IFERROR(J34/(J7-(COUNTIFS('Raw data'!K:K,"1",'Raw data'!I:I,"5",'Raw data'!AY:AY,""))),0)</f>
        <v>0</v>
      </c>
      <c r="L34" s="108">
        <f>COUNTIFS('Raw data'!L:L,"1",'Raw data'!AY:AY,1, 'Raw data'!I:I,6)+COUNTIFS('Raw data'!L:L,"2",'Raw data'!AY:AY,1, 'Raw data'!I:I,6)+COUNTIFS('Raw data'!L:L,"3",'Raw data'!AY:AY,1, 'Raw data'!I:I,6)+COUNTIFS('Raw data'!L:L,"4",'Raw data'!AY:AY,1, 'Raw data'!I:I,6)</f>
        <v>0</v>
      </c>
      <c r="M34" s="109">
        <f>IFERROR(L34/(L7-(COUNTIFS('Raw data'!K:K,"1",'Raw data'!I:I,"6",'Raw data'!AY:AY,""))),0)</f>
        <v>0</v>
      </c>
      <c r="N34" s="108">
        <f>COUNTIFS('Raw data'!L:L,"1",'Raw data'!AY:AY,1, 'Raw data'!I:I,7)+COUNTIFS('Raw data'!L:L,"2",'Raw data'!AY:AY,1, 'Raw data'!I:I,7)+COUNTIFS('Raw data'!L:L,"3",'Raw data'!AY:AY,1, 'Raw data'!I:I,7)+COUNTIFS('Raw data'!L:L,"4",'Raw data'!AY:AY,1, 'Raw data'!I:I,7)</f>
        <v>0</v>
      </c>
      <c r="O34" s="109">
        <f>IFERROR(N34/(N7-(COUNTIFS('Raw data'!K:K,"1",'Raw data'!I:I,"7",'Raw data'!AY:AY,""))),0)</f>
        <v>0</v>
      </c>
      <c r="P34" s="108">
        <f>COUNTIFS('Raw data'!L:L,"1",'Raw data'!AY:AY,1, 'Raw data'!I:I,8)+COUNTIFS('Raw data'!L:L,"2",'Raw data'!AY:AY,1, 'Raw data'!I:I,8)+COUNTIFS('Raw data'!L:L,"3",'Raw data'!AY:AY,1, 'Raw data'!I:I,8)+COUNTIFS('Raw data'!L:L,"4",'Raw data'!AY:AY,1, 'Raw data'!I:I,8)</f>
        <v>0</v>
      </c>
      <c r="Q34" s="109">
        <f>IFERROR(P34/(P7-(COUNTIFS('Raw data'!K:K,"1",'Raw data'!I:I,"8",'Raw data'!AY:AY,""))),0)</f>
        <v>0</v>
      </c>
      <c r="R34" s="108">
        <f>COUNTIFS('Raw data'!L:L,"1",'Raw data'!AY:AY,1, 'Raw data'!I:I,9)+COUNTIFS('Raw data'!L:L,"2",'Raw data'!AY:AY,1, 'Raw data'!I:I,9)+COUNTIFS('Raw data'!L:L,"3",'Raw data'!AY:AY,1, 'Raw data'!I:I,9)+COUNTIFS('Raw data'!L:L,"4",'Raw data'!AY:AY,1, 'Raw data'!I:I,9)</f>
        <v>0</v>
      </c>
      <c r="S34" s="109">
        <f>IFERROR(R34/(R7-(COUNTIFS('Raw data'!K:K,"1",'Raw data'!I:I,"9",'Raw data'!AY:AY,""))),0)</f>
        <v>0</v>
      </c>
      <c r="T34" s="108">
        <f>COUNTIFS('Raw data'!L:L,"1",'Raw data'!AY:AY,1, 'Raw data'!I:I,10)+COUNTIFS('Raw data'!L:L,"2",'Raw data'!AY:AY,1, 'Raw data'!I:I,10)+COUNTIFS('Raw data'!L:L,"3",'Raw data'!AY:AY,1, 'Raw data'!I:I,10)+COUNTIFS('Raw data'!L:L,"4",'Raw data'!AY:AY,1, 'Raw data'!I:I,10)</f>
        <v>0</v>
      </c>
      <c r="U34" s="124">
        <f>IFERROR(T34/(T7-(COUNTIFS('Raw data'!K:K,"1",'Raw data'!I:I,"10",'Raw data'!AY:AY,""))),0)</f>
        <v>0</v>
      </c>
    </row>
    <row r="35" spans="1:21" ht="33" thickBot="1" x14ac:dyDescent="0.25">
      <c r="A35" s="179" t="s">
        <v>283</v>
      </c>
      <c r="B35" s="88">
        <f>COUNTIFS('Raw data'!L:L,"1",'Raw data'!BA:BA,1, 'Raw data'!I:I,1)+COUNTIFS('Raw data'!L:L,"2",'Raw data'!BA:BA,1, 'Raw data'!I:I,1)+COUNTIFS('Raw data'!L:L,"3",'Raw data'!BA:BA,1, 'Raw data'!I:I,1)+COUNTIFS('Raw data'!L:L,"4",'Raw data'!BA:BA,1, 'Raw data'!I:I,1)</f>
        <v>0</v>
      </c>
      <c r="C35" s="280">
        <f>IFERROR(B35/(B7-(COUNTIFS('Raw data'!K:K,"1",'Raw data'!I:I,"1",'Raw data'!BA:BA,""))), 0)</f>
        <v>0</v>
      </c>
      <c r="D35" s="181">
        <f>COUNTIFS('Raw data'!L:L,"1",'Raw data'!BA:BA,1, 'Raw data'!I:I,2)+COUNTIFS('Raw data'!L:L,"2",'Raw data'!BA:BA,1, 'Raw data'!I:I,2)+COUNTIFS('Raw data'!L:L,"3",'Raw data'!BA:BA,1, 'Raw data'!I:I,2)+COUNTIFS('Raw data'!L:L,"4",'Raw data'!BA:BA,1, 'Raw data'!I:I,2)</f>
        <v>0</v>
      </c>
      <c r="E35" s="290">
        <f>IFERROR(D35/(D7-(COUNTIFS('Raw data'!K:K,"1",'Raw data'!I:I,"2",'Raw data'!BA:BA,""))), 0)</f>
        <v>0</v>
      </c>
      <c r="F35" s="166">
        <f>COUNTIFS('Raw data'!L:L,"1",'Raw data'!BA:BA,1, 'Raw data'!I:I,3)+COUNTIFS('Raw data'!L:L,"2",'Raw data'!BA:BA,1, 'Raw data'!I:I,3)+COUNTIFS('Raw data'!L:L,"3",'Raw data'!BA:BA,1, 'Raw data'!I:I,3)+COUNTIFS('Raw data'!L:L,"4",'Raw data'!BA:BA,1, 'Raw data'!I:I,3)</f>
        <v>0</v>
      </c>
      <c r="G35" s="247">
        <f>IFERROR(F35/(F7-(COUNTIFS('Raw data'!K:K,"1",'Raw data'!I:I,"3",'Raw data'!BA:BA,""))),0)</f>
        <v>0</v>
      </c>
      <c r="H35" s="166">
        <f>COUNTIFS('Raw data'!L:L,"1",'Raw data'!BA:BA,1, 'Raw data'!I:I,4)+COUNTIFS('Raw data'!L:L,"2",'Raw data'!BA:BA,1, 'Raw data'!I:I,4)+COUNTIFS('Raw data'!L:L,"3",'Raw data'!BA:BA,1, 'Raw data'!I:I,4)+COUNTIFS('Raw data'!L:L,"4",'Raw data'!BA:BA,1, 'Raw data'!I:I,4)</f>
        <v>0</v>
      </c>
      <c r="I35" s="247">
        <f>IFERROR(H35/(H7-(COUNTIFS('Raw data'!K:K,"1",'Raw data'!I:I,"4",'Raw data'!BA:BA,""))),0)</f>
        <v>0</v>
      </c>
      <c r="J35" s="166">
        <f>COUNTIFS('Raw data'!L:L,"1",'Raw data'!BA:BA,1, 'Raw data'!I:I,5)+COUNTIFS('Raw data'!L:L,"2",'Raw data'!BA:BA,1, 'Raw data'!I:I,5)+COUNTIFS('Raw data'!L:L,"3",'Raw data'!BA:BA,1, 'Raw data'!I:I,5)+COUNTIFS('Raw data'!L:L,"4",'Raw data'!BA:BA,1, 'Raw data'!I:I,5)</f>
        <v>0</v>
      </c>
      <c r="K35" s="247">
        <f>IFERROR(J35/(J7-(COUNTIFS('Raw data'!K:K,"1",'Raw data'!I:I,"5",'Raw data'!BA:BA,""))),0)</f>
        <v>0</v>
      </c>
      <c r="L35" s="166">
        <f>COUNTIFS('Raw data'!L:L,"1",'Raw data'!BA:BA,1, 'Raw data'!I:I,6)+COUNTIFS('Raw data'!L:L,"2",'Raw data'!BA:BA,1, 'Raw data'!I:I,6)+COUNTIFS('Raw data'!L:L,"3",'Raw data'!BA:BA,1, 'Raw data'!I:I,6)+COUNTIFS('Raw data'!L:L,"4",'Raw data'!BA:BA,1, 'Raw data'!I:I,6)</f>
        <v>0</v>
      </c>
      <c r="M35" s="247">
        <f>IFERROR(L35/(L7-(COUNTIFS('Raw data'!K:K,"1",'Raw data'!I:I,"6",'Raw data'!BA:BA,""))),0)</f>
        <v>0</v>
      </c>
      <c r="N35" s="166">
        <f>COUNTIFS('Raw data'!L:L,"1",'Raw data'!BA:BA,1, 'Raw data'!I:I,7)+COUNTIFS('Raw data'!L:L,"2",'Raw data'!BA:BA,1, 'Raw data'!I:I,7)+COUNTIFS('Raw data'!L:L,"3",'Raw data'!BA:BA,1, 'Raw data'!I:I,7)+COUNTIFS('Raw data'!L:L,"4",'Raw data'!BA:BA,1, 'Raw data'!I:I,7)</f>
        <v>0</v>
      </c>
      <c r="O35" s="247">
        <f>IFERROR(N35/(N7-(COUNTIFS('Raw data'!K:K,"1",'Raw data'!I:I,"7",'Raw data'!BA:BA,""))),0)</f>
        <v>0</v>
      </c>
      <c r="P35" s="166">
        <f>COUNTIFS('Raw data'!L:L,"1",'Raw data'!BA:BA,1, 'Raw data'!I:I,8)+COUNTIFS('Raw data'!L:L,"2",'Raw data'!BA:BA,1, 'Raw data'!I:I,8)+COUNTIFS('Raw data'!L:L,"3",'Raw data'!BA:BA,1, 'Raw data'!I:I,8)+COUNTIFS('Raw data'!L:L,"4",'Raw data'!BA:BA,1, 'Raw data'!I:I,8)</f>
        <v>0</v>
      </c>
      <c r="Q35" s="247">
        <f>IFERROR(P35/(P7-(COUNTIFS('Raw data'!K:K,"1",'Raw data'!I:I,"8",'Raw data'!BA:BA,""))),0)</f>
        <v>0</v>
      </c>
      <c r="R35" s="166">
        <f>COUNTIFS('Raw data'!L:L,"1",'Raw data'!BA:BA,1, 'Raw data'!I:I,9)+COUNTIFS('Raw data'!L:L,"2",'Raw data'!BA:BA,1, 'Raw data'!I:I,9)+COUNTIFS('Raw data'!L:L,"3",'Raw data'!BA:BA,1, 'Raw data'!I:I,9)+COUNTIFS('Raw data'!L:L,"4",'Raw data'!BA:BA,1, 'Raw data'!I:I,9)</f>
        <v>0</v>
      </c>
      <c r="S35" s="247">
        <f>IFERROR(R35/(R7-(COUNTIFS('Raw data'!K:K,"1",'Raw data'!I:I,"9",'Raw data'!BA:BA,""))),0)</f>
        <v>0</v>
      </c>
      <c r="T35" s="166">
        <f>COUNTIFS('Raw data'!L:L,"1",'Raw data'!BA:BA,1, 'Raw data'!I:I,10)+COUNTIFS('Raw data'!L:L,"2",'Raw data'!BA:BA,1, 'Raw data'!I:I,10)+COUNTIFS('Raw data'!L:L,"3",'Raw data'!BA:BA,1, 'Raw data'!I:I,10)+COUNTIFS('Raw data'!L:L,"4",'Raw data'!BA:BA,1, 'Raw data'!I:I,10)</f>
        <v>0</v>
      </c>
      <c r="U35" s="279">
        <f>IFERROR(T35/(T7-(COUNTIFS('Raw data'!K:K,"1",'Raw data'!I:I,"10",'Raw data'!BA:BA,""))),0)</f>
        <v>0</v>
      </c>
    </row>
    <row r="36" spans="1:21" ht="16" thickBot="1" x14ac:dyDescent="0.25">
      <c r="A36" s="180"/>
      <c r="B36" s="170"/>
      <c r="C36" s="170"/>
      <c r="D36" s="170"/>
      <c r="E36" s="170"/>
      <c r="F36" s="170"/>
      <c r="G36" s="170"/>
      <c r="H36" s="170"/>
      <c r="I36" s="170"/>
      <c r="J36" s="170"/>
      <c r="K36" s="170"/>
      <c r="L36" s="170"/>
      <c r="M36" s="170"/>
      <c r="N36" s="180"/>
      <c r="O36" s="180"/>
      <c r="P36" s="180"/>
      <c r="Q36" s="180"/>
      <c r="R36" s="180"/>
      <c r="S36" s="180"/>
      <c r="T36" s="180"/>
      <c r="U36" s="180"/>
    </row>
    <row r="37" spans="1:21" ht="16" thickBot="1" x14ac:dyDescent="0.25">
      <c r="A37" s="93" t="s">
        <v>284</v>
      </c>
      <c r="B37" s="96" t="s">
        <v>252</v>
      </c>
      <c r="C37" s="97" t="s">
        <v>239</v>
      </c>
      <c r="D37" s="102" t="s">
        <v>252</v>
      </c>
      <c r="E37" s="103" t="s">
        <v>239</v>
      </c>
      <c r="F37" s="110" t="s">
        <v>252</v>
      </c>
      <c r="G37" s="103" t="s">
        <v>239</v>
      </c>
      <c r="H37" s="110" t="s">
        <v>252</v>
      </c>
      <c r="I37" s="103" t="s">
        <v>239</v>
      </c>
      <c r="J37" s="110" t="s">
        <v>252</v>
      </c>
      <c r="K37" s="103" t="s">
        <v>239</v>
      </c>
      <c r="L37" s="110" t="s">
        <v>252</v>
      </c>
      <c r="M37" s="103" t="s">
        <v>239</v>
      </c>
      <c r="N37" s="72" t="s">
        <v>252</v>
      </c>
      <c r="O37" s="73" t="s">
        <v>239</v>
      </c>
      <c r="P37" s="72" t="s">
        <v>252</v>
      </c>
      <c r="Q37" s="73" t="s">
        <v>239</v>
      </c>
      <c r="R37" s="72" t="s">
        <v>252</v>
      </c>
      <c r="S37" s="73" t="s">
        <v>239</v>
      </c>
      <c r="T37" s="110" t="s">
        <v>252</v>
      </c>
      <c r="U37" s="123" t="s">
        <v>239</v>
      </c>
    </row>
    <row r="38" spans="1:21" ht="32" x14ac:dyDescent="0.2">
      <c r="A38" s="99" t="s">
        <v>285</v>
      </c>
      <c r="B38" s="108">
        <f>COUNTIFS('Raw data'!L:L,"1",'Raw data'!BC:BC,1, 'Raw data'!I:I,1)+COUNTIFS('Raw data'!L:L,"2",'Raw data'!BC:BC,1, 'Raw data'!I:I,1)+COUNTIFS('Raw data'!L:L,"3",'Raw data'!BC:BC,1, 'Raw data'!I:I,1)+COUNTIFS('Raw data'!L:L,"4",'Raw data'!BC:BC,1, 'Raw data'!I:I,1)</f>
        <v>0</v>
      </c>
      <c r="C38" s="109">
        <f>IFERROR(B38/(B7-((COUNTIFS('Raw data'!L:L,"1",'Raw data'!BC:BC,2, 'Raw data'!I:I,1)+COUNTIFS('Raw data'!L:L,"2",'Raw data'!BC:BC,2, 'Raw data'!I:I,1)+COUNTIFS('Raw data'!L:L,"3",'Raw data'!BC:BC,2, 'Raw data'!I:I,1)+COUNTIFS('Raw data'!L:L,"4",'Raw data'!BC:BC,2, 'Raw data'!I:I,1)))-((COUNTIFS('Raw data'!I:I,"1",'Raw data'!K:K,"1",'Raw data'!BC:BC,"")))),0)</f>
        <v>0</v>
      </c>
      <c r="D38" s="106">
        <f>COUNTIFS('Raw data'!L:L,"1",'Raw data'!BC:BC,1, 'Raw data'!I:I,2)+COUNTIFS('Raw data'!L:L,"2",'Raw data'!BC:BC,1, 'Raw data'!I:I,2)+COUNTIFS('Raw data'!L:L,"3",'Raw data'!BC:BC,1, 'Raw data'!I:I,2)+COUNTIFS('Raw data'!L:L,"4",'Raw data'!BC:BC,1, 'Raw data'!I:I,2)</f>
        <v>0</v>
      </c>
      <c r="E38" s="107">
        <f>IFERROR(D38/(D7-(COUNTIFS('Raw data'!L:L,"1",'Raw data'!BC:BC,2, 'Raw data'!I:I,"2")+COUNTIFS('Raw data'!L:L,"2",'Raw data'!BC:BC,2, 'Raw data'!I:I,"2")+COUNTIFS('Raw data'!L:L,"3",'Raw data'!BC:BC,2, 'Raw data'!I:I,"2")+COUNTIFS('Raw data'!L:L,"4",'Raw data'!BC:BC,2, 'Raw data'!I:I,"2"))-(COUNTIFS('Raw data'!K:K,"1",'Raw data'!I:I,"2",'Raw data'!BC:BC, ""))),0)</f>
        <v>0</v>
      </c>
      <c r="F38" s="106">
        <f>COUNTIFS('Raw data'!L:L,"1",'Raw data'!BC:BC,1, 'Raw data'!I:I,3)+COUNTIFS('Raw data'!L:L,"2",'Raw data'!BC:BC,1, 'Raw data'!I:I,3)+COUNTIFS('Raw data'!L:L,"3",'Raw data'!BC:BC,1, 'Raw data'!I:I,3)+COUNTIFS('Raw data'!L:L,"4",'Raw data'!BC:BC,1,'Raw data'!I:I,3)</f>
        <v>0</v>
      </c>
      <c r="G38" s="107">
        <f>IFERROR(F38/(F7-(COUNTIFS('Raw data'!L:L,"1",'Raw data'!BC:BC,2, 'Raw data'!I:I,"3")+COUNTIFS('Raw data'!L:L,"2",'Raw data'!BC:BC,2, 'Raw data'!I:I,"3")+COUNTIFS('Raw data'!L:L,"3",'Raw data'!BC:BC,2, 'Raw data'!I:I,"3")+COUNTIFS('Raw data'!L:L,"4",'Raw data'!BC:BC,2, 'Raw data'!I:I,"3")-(COUNTIFS('Raw data'!K:K,"1",'Raw data'!I:I,"3",'Raw data'!BC:BC, "")))),0)</f>
        <v>0</v>
      </c>
      <c r="H38" s="106">
        <f>COUNTIFS('Raw data'!L:L,"1",'Raw data'!BC:BC,1, 'Raw data'!I:I,4)+COUNTIFS('Raw data'!L:L,"2",'Raw data'!BC:BC,1, 'Raw data'!I:I,4)+COUNTIFS('Raw data'!L:L,"3",'Raw data'!BC:BC,1, 'Raw data'!I:I,4)+COUNTIFS('Raw data'!L:L,"4",'Raw data'!BC:BC,1, 'Raw data'!I:I,4)</f>
        <v>0</v>
      </c>
      <c r="I38" s="107">
        <f>IFERROR(H38/(H7-(COUNTIFS('Raw data'!L:L,"1",'Raw data'!BC:BC,2, 'Raw data'!I:I,"4")+COUNTIFS('Raw data'!L:L,"2",'Raw data'!BC:BC,2, 'Raw data'!I:I,"4")+COUNTIFS('Raw data'!L:L,"3",'Raw data'!BC:BC,2, 'Raw data'!I:I,"4")+COUNTIFS('Raw data'!L:L,"4",'Raw data'!BC:BC,2, 'Raw data'!I:I,"4")-(COUNTIFS('Raw data'!K:K,"1",'Raw data'!I:I,"4",'Raw data'!BC:BC, "")))),0)</f>
        <v>0</v>
      </c>
      <c r="J38" s="106">
        <f>COUNTIFS('Raw data'!L:L,"1",'Raw data'!BC:BC,1, 'Raw data'!I:I,5)+COUNTIFS('Raw data'!L:L,"2",'Raw data'!BC:BC,1, 'Raw data'!I:I,5)+COUNTIFS('Raw data'!L:L,"3",'Raw data'!BC:BC,1, 'Raw data'!I:I,5)+COUNTIFS('Raw data'!L:L,"4",'Raw data'!BC:BC,1, 'Raw data'!I:I,5)</f>
        <v>0</v>
      </c>
      <c r="K38" s="107">
        <f>IFERROR(J38/(J7-(COUNTIFS('Raw data'!L:L,"1",'Raw data'!BC:BC,2, 'Raw data'!I:I,"5")+COUNTIFS('Raw data'!L:L,"2",'Raw data'!BC:BC,2, 'Raw data'!I:I,5)+COUNTIFS('Raw data'!L:L,"3",'Raw data'!BC:BC,2, 'Raw data'!I:I,"5")+COUNTIFS('Raw data'!L:L,"4",'Raw data'!BC:BC,2, 'Raw data'!I:I,"5")-(COUNTIFS('Raw data'!K:K,"1",'Raw data'!I:I,"5",'Raw data'!BC:BC, "")))),0)</f>
        <v>0</v>
      </c>
      <c r="L38" s="106">
        <f>COUNTIFS('Raw data'!L:L,"1",'Raw data'!BC:BC,1, 'Raw data'!I:I,6)+COUNTIFS('Raw data'!L:L,"2",'Raw data'!BC:BC,1, 'Raw data'!I:I,6)+COUNTIFS('Raw data'!L:L,"3",'Raw data'!BC:BC,1, 'Raw data'!I:I,6)+COUNTIFS('Raw data'!L:L,"4",'Raw data'!BC:BC,1, 'Raw data'!I:I,6)</f>
        <v>0</v>
      </c>
      <c r="M38" s="107">
        <f>IFERROR(L38/(L7-(COUNTIFS('Raw data'!L:L,"1",'Raw data'!BC:BC,2, 'Raw data'!I:I,"6")+COUNTIFS('Raw data'!L:L,"2",'Raw data'!BC:BC,2, 'Raw data'!I:I,"6")+COUNTIFS('Raw data'!L:L,"3",'Raw data'!BC:BC,2, 'Raw data'!I:I,"6")+COUNTIFS('Raw data'!L:L,"4",'Raw data'!BC:BC,2, 'Raw data'!I:I,"6")-(COUNTIFS('Raw data'!K:K,"1",'Raw data'!I:I,"6",'Raw data'!BC:BC, "")))),0)</f>
        <v>0</v>
      </c>
      <c r="N38" s="115">
        <f>COUNTIFS('Raw data'!L:L,"1",'Raw data'!BC:BC,1,'Raw data'!I:I,7)+COUNTIFS('Raw data'!L:L,"2",'Raw data'!BC:BC,1,'Raw data'!I:I,7)+COUNTIFS('Raw data'!L:L,"3",'Raw data'!BC:BC,1, 'Raw data'!I:I,7)+COUNTIFS('Raw data'!L:L,"4",'Raw data'!BC:BC,1,'Raw data'!I:I,7)</f>
        <v>0</v>
      </c>
      <c r="O38" s="192">
        <f>IFERROR(N38/(N7-(COUNTIFS('Raw data'!L:L,"1",'Raw data'!BC:BC,2, 'Raw data'!I:I,"7")+COUNTIFS('Raw data'!L:L,"2",'Raw data'!BC:BC,2, 'Raw data'!I:I,"7")+COUNTIFS('Raw data'!L:L,"3",'Raw data'!BC:BC,2, 'Raw data'!I:I,"7")+COUNTIFS('Raw data'!L:L,"4",'Raw data'!BC:BC,2, 'Raw data'!I:I,"7")-(COUNTIFS('Raw data'!K:K,"1",'Raw data'!I:I,7,'Raw data'!BC:BC, "")))),0)</f>
        <v>0</v>
      </c>
      <c r="P38" s="115">
        <f>COUNTIFS('Raw data'!L:L,"1",'Raw data'!BC:BC,1, 'Raw data'!I:I,8)+COUNTIFS('Raw data'!L:L,"2",'Raw data'!BC:BC,1, 'Raw data'!I:I,8)+COUNTIFS('Raw data'!L:L,"3",'Raw data'!BC:BC,1, 'Raw data'!I:I,8)+COUNTIFS('Raw data'!L:L,"4",'Raw data'!BC:BC,1,'Raw data'!I:I,8)</f>
        <v>0</v>
      </c>
      <c r="Q38" s="192">
        <f>IFERROR(P38/(P7-COUNTIFS('Raw data'!L:L,"1",'Raw data'!BC:BC,2,'Raw data'!I:I,"8")+COUNTIFS('Raw data'!L:L,"2",'Raw data'!BC:BC,2,'Raw data'!I:I,"8")+COUNTIFS('Raw data'!L:L,"3",'Raw data'!BC:BC,2,'Raw data'!I:I,"8")+COUNTIFS('Raw data'!L:L,"4",'Raw data'!BC:BC,2,'Raw data'!I:I,"8")-(COUNTIFS('Raw data'!K:K,"1",'Raw data'!I:I,"8",'Raw data'!BC:BC, ""))),0)</f>
        <v>0</v>
      </c>
      <c r="R38" s="115">
        <f>COUNTIFS('Raw data'!L:L,"1",'Raw data'!BC:BC,1, 'Raw data'!I:I,9)+COUNTIFS('Raw data'!L:L,"2",'Raw data'!BC:BC,1,'Raw data'!I:I,9)+COUNTIFS('Raw data'!L:L,"3",'Raw data'!BC:BC,1, 'Raw data'!I:I,9)+COUNTIFS('Raw data'!L:L,"4",'Raw data'!BC:BC,1, 'Raw data'!I:I,9)</f>
        <v>0</v>
      </c>
      <c r="S38" s="192">
        <f>IFERROR(R38/(R7-(COUNTIFS('Raw data'!L:L,"1",'Raw data'!BC:BC,2, 'Raw data'!I:I,"9")+COUNTIFS('Raw data'!L:L,"2",'Raw data'!BC:BC,2, 'Raw data'!I:I,"9")+COUNTIFS('Raw data'!L:L,"3",'Raw data'!BC:BC,2, 'Raw data'!I:I,"9")+COUNTIFS('Raw data'!L:L,"4",'Raw data'!BC:BC,2, 'Raw data'!I:I,"9")-(COUNTIFS('Raw data'!K:K,"1",'Raw data'!I:I,"9",'Raw data'!BC:BC, "")))),0)</f>
        <v>0</v>
      </c>
      <c r="T38" s="108">
        <f>COUNTIFS('Raw data'!L:L,"1",'Raw data'!BC:BC,1, 'Raw data'!I:I,10)+COUNTIFS('Raw data'!L:L,"2",'Raw data'!BC:BC,1, 'Raw data'!I:I,10)+COUNTIFS('Raw data'!L:L,"3",'Raw data'!BC:BC,1, 'Raw data'!I:I,10)+COUNTIFS('Raw data'!L:L,"4",'Raw data'!BC:BC,1, 'Raw data'!I:I,10)</f>
        <v>0</v>
      </c>
      <c r="U38" s="109">
        <f>IFERROR(T38/(T7-(COUNTIFS('Raw data'!L:L,"1",'Raw data'!BC:BC,2, 'Raw data'!I:I,"10")+COUNTIFS('Raw data'!L:L,"2",'Raw data'!BC:BC,2, 'Raw data'!I:I,"10")+COUNTIFS('Raw data'!L:L,"3",'Raw data'!BC:BC,2, 'Raw data'!I:I,"10")+COUNTIFS('Raw data'!L:L,"4",'Raw data'!BC:BC,2, 'Raw data'!I:I,"10")-(COUNTIFS('Raw data'!K:K,"1",'Raw data'!I:I,"10",'Raw data'!BC:BC,"")))),0)</f>
        <v>0</v>
      </c>
    </row>
    <row r="39" spans="1:21" ht="16" x14ac:dyDescent="0.2">
      <c r="A39" s="99" t="s">
        <v>319</v>
      </c>
      <c r="B39" s="108">
        <f>COUNTIFS('Raw data'!L:L,"1",'Raw data'!BD:BD,1, 'Raw data'!I:I,1)+COUNTIFS('Raw data'!L:L,"2",'Raw data'!BD:BD,1, 'Raw data'!I:I,1)+COUNTIFS('Raw data'!L:L,"3",'Raw data'!BD:BD,1, 'Raw data'!I:I,1)+COUNTIFS('Raw data'!L:L,"4",'Raw data'!BD:BD,1, 'Raw data'!I:I,1)</f>
        <v>0</v>
      </c>
      <c r="C39" s="109">
        <f>IFERROR(B39/(B7-(COUNTIFS('Raw data'!K:K,"1",'Raw data'!I:I,"1",'Raw data'!BD:BD,""))), 0)</f>
        <v>0</v>
      </c>
      <c r="D39" s="108">
        <f>COUNTIFS('Raw data'!L:L,"1",'Raw data'!BD:BD,1, 'Raw data'!I:I,2)+COUNTIFS('Raw data'!L:L,"2",'Raw data'!BD:BD,1, 'Raw data'!I:I,2)+COUNTIFS('Raw data'!L:L,"3",'Raw data'!BD:BD,1, 'Raw data'!I:I,2)+COUNTIFS('Raw data'!L:L,"4",'Raw data'!BD:BD,1, 'Raw data'!I:I,2)</f>
        <v>0</v>
      </c>
      <c r="E39" s="109">
        <f>IFERROR(D39/(D7-(COUNTIFS('Raw data'!K:K,"1",'Raw data'!I:I,"2",'Raw data'!BD:BD,""))), 0)</f>
        <v>0</v>
      </c>
      <c r="F39" s="108">
        <f>COUNTIFS('Raw data'!L:L,"1",'Raw data'!BD:BD,1, 'Raw data'!I:I,3)+COUNTIFS('Raw data'!L:L,"2",'Raw data'!BD:BD,1, 'Raw data'!I:I,3)+COUNTIFS('Raw data'!L:L,"3",'Raw data'!BD:BD,1, 'Raw data'!I:I,3)+COUNTIFS('Raw data'!L:L,"4",'Raw data'!BD:BD,1, 'Raw data'!I:I,3)</f>
        <v>0</v>
      </c>
      <c r="G39" s="109">
        <f>IFERROR(F39/(F7-(COUNTIFS('Raw data'!K:K,"1",'Raw data'!I:I,"1",'Raw data'!BD:BD,""))),0)</f>
        <v>0</v>
      </c>
      <c r="H39" s="108">
        <f>COUNTIFS('Raw data'!L:L,"1",'Raw data'!BD:BD,1, 'Raw data'!I:I,4)+COUNTIFS('Raw data'!L:L,"2",'Raw data'!BD:BD,1, 'Raw data'!I:I,4)+COUNTIFS('Raw data'!L:L,"3",'Raw data'!BD:BD,1, 'Raw data'!I:I,4)+COUNTIFS('Raw data'!L:L,"4",'Raw data'!BD:BD,1, 'Raw data'!I:I,4)</f>
        <v>0</v>
      </c>
      <c r="I39" s="109">
        <f>IFERROR(H39/(H7-(COUNTIFS('Raw data'!K:K,"1",'Raw data'!I:I,"4",'Raw data'!BD:BD,""))),0)</f>
        <v>0</v>
      </c>
      <c r="J39" s="108">
        <f>COUNTIFS('Raw data'!L:L,"1",'Raw data'!BD:BD,1, 'Raw data'!I:I,5)+COUNTIFS('Raw data'!L:L,"2",'Raw data'!BD:BD,1, 'Raw data'!I:I,5)+COUNTIFS('Raw data'!L:L,"3",'Raw data'!BD:BD,1, 'Raw data'!I:I,5)+COUNTIFS('Raw data'!L:L,"4",'Raw data'!BD:BD,1, 'Raw data'!I:I,5)</f>
        <v>0</v>
      </c>
      <c r="K39" s="109">
        <f>IFERROR(J39/(J7-(COUNTIFS('Raw data'!K:K,"1",'Raw data'!I:I,"5",'Raw data'!BD:BD,""))),0)</f>
        <v>0</v>
      </c>
      <c r="L39" s="108">
        <f>COUNTIFS('Raw data'!L:L,"1",'Raw data'!BD:BD,1, 'Raw data'!I:I,6)+COUNTIFS('Raw data'!L:L,"2",'Raw data'!BD:BD,1, 'Raw data'!I:I,6)+COUNTIFS('Raw data'!L:L,"3",'Raw data'!BD:BD,1, 'Raw data'!I:I,6)+COUNTIFS('Raw data'!L:L,"4",'Raw data'!BD:BD,1, 'Raw data'!I:I,6)</f>
        <v>0</v>
      </c>
      <c r="M39" s="109">
        <f>IFERROR(L39/(L7-(COUNTIFS('Raw data'!K:K,"1",'Raw data'!I:I,"6",'Raw data'!BD:BD,""))),0)</f>
        <v>0</v>
      </c>
      <c r="N39" s="108">
        <f>COUNTIFS('Raw data'!L:L,"1",'Raw data'!BD:BD,1, 'Raw data'!I:I,7)+COUNTIFS('Raw data'!L:L,"2",'Raw data'!BD:BD,1, 'Raw data'!I:I,7)+COUNTIFS('Raw data'!L:L,"3",'Raw data'!BD:BD,1, 'Raw data'!I:I,7)+COUNTIFS('Raw data'!L:L,"4",'Raw data'!BD:BD,1, 'Raw data'!I:I,7)</f>
        <v>0</v>
      </c>
      <c r="O39" s="109">
        <f>IFERROR(N39/(N7-(COUNTIFS('Raw data'!K:K,"1",'Raw data'!I:I,"7",'Raw data'!BD:BD,""))),0)</f>
        <v>0</v>
      </c>
      <c r="P39" s="108">
        <f>COUNTIFS('Raw data'!L:L,"1",'Raw data'!BD:BD,1, 'Raw data'!I:I,8)+COUNTIFS('Raw data'!L:L,"2",'Raw data'!BD:BD,1, 'Raw data'!I:I,8)+COUNTIFS('Raw data'!L:L,"3",'Raw data'!BD:BD,1, 'Raw data'!I:I,8)+COUNTIFS('Raw data'!L:L,"4",'Raw data'!BD:BD,1, 'Raw data'!I:I,8)</f>
        <v>0</v>
      </c>
      <c r="Q39" s="109">
        <f>IFERROR(P39/(P7-(COUNTIFS('Raw data'!K:K,"1",'Raw data'!I:I,"8",'Raw data'!BD:BD,""))),0)</f>
        <v>0</v>
      </c>
      <c r="R39" s="108">
        <f>COUNTIFS('Raw data'!L:L,"1",'Raw data'!BD:BD,1, 'Raw data'!I:I,9)+COUNTIFS('Raw data'!L:L,"2",'Raw data'!BD:BD,1, 'Raw data'!I:I,9)+COUNTIFS('Raw data'!L:L,"3",'Raw data'!BD:BD,1, 'Raw data'!I:I,9)+COUNTIFS('Raw data'!L:L,"4",'Raw data'!BD:BD,1, 'Raw data'!I:I,9)</f>
        <v>0</v>
      </c>
      <c r="S39" s="109">
        <f>IFERROR(R39/(R7-(COUNTIFS('Raw data'!K:K,"1",'Raw data'!I:I,"9",'Raw data'!BD:BD,""))),0)</f>
        <v>0</v>
      </c>
      <c r="T39" s="108">
        <f>COUNTIFS('Raw data'!L:L,"1",'Raw data'!BD:BD,1, 'Raw data'!I:I,10)+COUNTIFS('Raw data'!L:L,"2",'Raw data'!BD:BD,1, 'Raw data'!I:I,10)+COUNTIFS('Raw data'!L:L,"3",'Raw data'!BD:BD,1, 'Raw data'!I:I,10)+COUNTIFS('Raw data'!L:L,"4",'Raw data'!BD:BD,1, 'Raw data'!I:I,10)</f>
        <v>0</v>
      </c>
      <c r="U39" s="109">
        <f>IFERROR(T39/(T7-(COUNTIFS('Raw data'!K:K,"1",'Raw data'!I:I,"10",'Raw data'!BD:BD,""))),0)</f>
        <v>0</v>
      </c>
    </row>
    <row r="40" spans="1:21" x14ac:dyDescent="0.2">
      <c r="A40" s="94" t="s">
        <v>287</v>
      </c>
      <c r="B40" s="108">
        <f>COUNTIFS('Raw data'!L:L,"1",'Raw data'!BF:BF,1, 'Raw data'!I:I,1)+COUNTIFS('Raw data'!L:L,"2",'Raw data'!BF:BF,1, 'Raw data'!I:I,1)+COUNTIFS('Raw data'!L:L,"3",'Raw data'!BF:BF,1, 'Raw data'!I:I,1)+COUNTIFS('Raw data'!L:L,"4",'Raw data'!BF:BF,1, 'Raw data'!I:I,1)</f>
        <v>0</v>
      </c>
      <c r="C40" s="109">
        <f>IFERROR(B40/(B7-(COUNTIFS('Raw data'!K:K,"1",'Raw data'!I:I,"1",'Raw data'!BF:BF,""))), 0)</f>
        <v>0</v>
      </c>
      <c r="D40" s="108">
        <f>COUNTIFS('Raw data'!L:L,"1",'Raw data'!BF:BF,1, 'Raw data'!I:I,2)+COUNTIFS('Raw data'!L:L,"2",'Raw data'!BF:BF,1, 'Raw data'!I:I,2)+COUNTIFS('Raw data'!L:L,"3",'Raw data'!BF:BF,1, 'Raw data'!I:I,2)+COUNTIFS('Raw data'!L:L,"4",'Raw data'!BF:BF,1, 'Raw data'!I:I,2)</f>
        <v>0</v>
      </c>
      <c r="E40" s="109">
        <f>IFERROR(D40/(D7-(COUNTIFS('Raw data'!K:K,"1",'Raw data'!I:I,"2",'Raw data'!BF:BF,""))), 0)</f>
        <v>0</v>
      </c>
      <c r="F40" s="108">
        <f>COUNTIFS('Raw data'!L:L,"1",'Raw data'!BF:BF,1, 'Raw data'!I:I,3)+COUNTIFS('Raw data'!L:L,"2",'Raw data'!BF:BF,1, 'Raw data'!I:I,3)+COUNTIFS('Raw data'!L:L,"3",'Raw data'!BF:BF,1, 'Raw data'!I:I,3)+COUNTIFS('Raw data'!L:L,"4",'Raw data'!BF:BF,1, 'Raw data'!I:I,3)</f>
        <v>0</v>
      </c>
      <c r="G40" s="109">
        <f>IFERROR(F40/(F7-(COUNTIFS('Raw data'!K:K,"1",'Raw data'!I:I,"3",'Raw data'!BF:BF,""))),0)</f>
        <v>0</v>
      </c>
      <c r="H40" s="108">
        <f>COUNTIFS('Raw data'!L:L,"1",'Raw data'!BF:BF,1, 'Raw data'!I:I,4)+COUNTIFS('Raw data'!L:L,"2",'Raw data'!BF:BF,1, 'Raw data'!I:I,4)+COUNTIFS('Raw data'!L:L,"3",'Raw data'!BF:BF,1, 'Raw data'!I:I,4)+COUNTIFS('Raw data'!L:L,"4",'Raw data'!BF:BF,1, 'Raw data'!I:I,4)</f>
        <v>0</v>
      </c>
      <c r="I40" s="109">
        <f>IFERROR(H40/(H7-(COUNTIFS('Raw data'!K:K,"1",'Raw data'!I:I,"4",'Raw data'!BF:BF,""))),0)</f>
        <v>0</v>
      </c>
      <c r="J40" s="108">
        <f>COUNTIFS('Raw data'!L:L,"1",'Raw data'!BF:BF,1, 'Raw data'!I:I,5)+COUNTIFS('Raw data'!L:L,"2",'Raw data'!BF:BF,1, 'Raw data'!I:I,5)+COUNTIFS('Raw data'!L:L,"3",'Raw data'!BF:BF,1, 'Raw data'!I:I,5)+COUNTIFS('Raw data'!L:L,"4",'Raw data'!BF:BF,1, 'Raw data'!I:I,5)</f>
        <v>0</v>
      </c>
      <c r="K40" s="109">
        <f>IFERROR(J40/(J7-(COUNTIFS('Raw data'!K:K,"1",'Raw data'!I:I,"5",'Raw data'!BF:BF,""))),0)</f>
        <v>0</v>
      </c>
      <c r="L40" s="108">
        <f>COUNTIFS('Raw data'!L:L,"1",'Raw data'!BF:BF,1, 'Raw data'!I:I,6)+COUNTIFS('Raw data'!L:L,"2",'Raw data'!BF:BF,1, 'Raw data'!I:I,6)+COUNTIFS('Raw data'!L:L,"3",'Raw data'!BF:BF,1, 'Raw data'!I:I,6)+COUNTIFS('Raw data'!L:L,"4",'Raw data'!BF:BF,1, 'Raw data'!I:I,6)</f>
        <v>0</v>
      </c>
      <c r="M40" s="109">
        <f>IFERROR(L40/(L7-(COUNTIFS('Raw data'!K:K,"1",'Raw data'!I:I,"6",'Raw data'!BF:BF,""))),0)</f>
        <v>0</v>
      </c>
      <c r="N40" s="108">
        <f>COUNTIFS('Raw data'!L:L,"1",'Raw data'!BF:BF,1, 'Raw data'!I:I,7)+COUNTIFS('Raw data'!L:L,"2",'Raw data'!BF:BF,1, 'Raw data'!I:I,7)+COUNTIFS('Raw data'!L:L,"3",'Raw data'!BF:BF,1, 'Raw data'!I:I,7)+COUNTIFS('Raw data'!L:L,"4",'Raw data'!BF:BF,1, 'Raw data'!I:I,7)</f>
        <v>0</v>
      </c>
      <c r="O40" s="109">
        <f>IFERROR(N40/(N7-(COUNTIFS('Raw data'!K:K,"1",'Raw data'!I:I,"7",'Raw data'!BF:BF,""))),0)</f>
        <v>0</v>
      </c>
      <c r="P40" s="108">
        <f>COUNTIFS('Raw data'!L:L,"1",'Raw data'!BF:BF,1, 'Raw data'!I:I,8)+COUNTIFS('Raw data'!L:L,"2",'Raw data'!BF:BF,1, 'Raw data'!I:I,8)+COUNTIFS('Raw data'!L:L,"3",'Raw data'!BF:BF,1, 'Raw data'!I:I,8)+COUNTIFS('Raw data'!L:L,"4",'Raw data'!BF:BF,1, 'Raw data'!I:I,8)</f>
        <v>0</v>
      </c>
      <c r="Q40" s="109">
        <f>IFERROR(P40/(P7-(COUNTIFS('Raw data'!K:K,"1",'Raw data'!I:I,"8",'Raw data'!BF:BF,""))),0)</f>
        <v>0</v>
      </c>
      <c r="R40" s="108">
        <f>COUNTIFS('Raw data'!L:L,"1",'Raw data'!BF:BF,1, 'Raw data'!I:I,9)+COUNTIFS('Raw data'!L:L,"2",'Raw data'!BF:BF,1, 'Raw data'!I:I,9)+COUNTIFS('Raw data'!L:L,"3",'Raw data'!BF:BF,1, 'Raw data'!I:I,9)+COUNTIFS('Raw data'!L:L,"4",'Raw data'!BF:BF,1, 'Raw data'!I:I,9)</f>
        <v>0</v>
      </c>
      <c r="S40" s="109">
        <f>IFERROR(R40/(R7-(COUNTIFS('Raw data'!K:K,"1",'Raw data'!I:I,"9",'Raw data'!BF:BF,""))),0)</f>
        <v>0</v>
      </c>
      <c r="T40" s="108">
        <f>COUNTIFS('Raw data'!L:L,"1",'Raw data'!BF:BF,1, 'Raw data'!I:I,10)+COUNTIFS('Raw data'!L:L,"2",'Raw data'!BF:BF,1, 'Raw data'!I:I,10)+COUNTIFS('Raw data'!L:L,"3",'Raw data'!BF:BF,1, 'Raw data'!I:I,10)+COUNTIFS('Raw data'!L:L,"4",'Raw data'!BF:BF,1, 'Raw data'!I:I,10)</f>
        <v>0</v>
      </c>
      <c r="U40" s="109">
        <f>IFERROR(T40/(T7-(COUNTIFS('Raw data'!K:K,"1",'Raw data'!I:I,"10",'Raw data'!BF:BF,""))),0)</f>
        <v>0</v>
      </c>
    </row>
    <row r="41" spans="1:21" x14ac:dyDescent="0.2">
      <c r="A41" s="94" t="s">
        <v>288</v>
      </c>
      <c r="B41" s="108">
        <f>COUNTIFS('Raw data'!L:L,"1",'Raw data'!BH:BH,1, 'Raw data'!I:I,1)+COUNTIFS('Raw data'!L:L,"2",'Raw data'!BH:BH,1, 'Raw data'!I:I,1)+COUNTIFS('Raw data'!L:L,"3",'Raw data'!BH:BH,1, 'Raw data'!I:I,1)+COUNTIFS('Raw data'!L:L,"4",'Raw data'!BH:BH,1, 'Raw data'!I:I,1)</f>
        <v>0</v>
      </c>
      <c r="C41" s="109">
        <f>IFERROR(B41/(B7-(COUNTIFS('Raw data'!K:K,"1",'Raw data'!I:I,"1",'Raw data'!BH:BH,""))), 0)</f>
        <v>0</v>
      </c>
      <c r="D41" s="108">
        <f>COUNTIFS('Raw data'!L:L,"1",'Raw data'!BH:BH,1, 'Raw data'!I:I,2)+COUNTIFS('Raw data'!L:L,"2",'Raw data'!BH:BH,1, 'Raw data'!I:I,2)+COUNTIFS('Raw data'!L:L,"3",'Raw data'!BH:BH,1, 'Raw data'!I:I,2)+COUNTIFS('Raw data'!L:L,"4",'Raw data'!BH:BH,1, 'Raw data'!I:I,2)</f>
        <v>0</v>
      </c>
      <c r="E41" s="109">
        <f>IFERROR(D41/(D7-(COUNTIFS('Raw data'!K:K,"1",'Raw data'!I:I,"2",'Raw data'!BH:BH,""))), 0)</f>
        <v>0</v>
      </c>
      <c r="F41" s="108">
        <f>COUNTIFS('Raw data'!L:L,"1",'Raw data'!BH:BH,1, 'Raw data'!I:I,3)+COUNTIFS('Raw data'!L:L,"2",'Raw data'!BH:BH,1, 'Raw data'!I:I,3)+COUNTIFS('Raw data'!L:L,"3",'Raw data'!BH:BH,1, 'Raw data'!I:I,3)+COUNTIFS('Raw data'!L:L,"4",'Raw data'!BH:BH,1, 'Raw data'!I:I,3)</f>
        <v>0</v>
      </c>
      <c r="G41" s="109">
        <f>IFERROR(F41/(F7-(COUNTIFS('Raw data'!K:K,"1",'Raw data'!I:I,"3",'Raw data'!BH:BH,""))),0)</f>
        <v>0</v>
      </c>
      <c r="H41" s="108">
        <f>COUNTIFS('Raw data'!L:L,"1",'Raw data'!BH:BH,1, 'Raw data'!I:I,4)+COUNTIFS('Raw data'!L:L,"2",'Raw data'!BH:BH,1, 'Raw data'!I:I,4)+COUNTIFS('Raw data'!L:L,"3",'Raw data'!BH:BH,1, 'Raw data'!I:I,4)+COUNTIFS('Raw data'!L:L,"4",'Raw data'!BH:BH,1, 'Raw data'!I:I,4)</f>
        <v>0</v>
      </c>
      <c r="I41" s="109">
        <f>IFERROR(H41/(H7-(COUNTIFS('Raw data'!K:K,"1",'Raw data'!I:I,"4",'Raw data'!BH:BH,""))),0)</f>
        <v>0</v>
      </c>
      <c r="J41" s="108">
        <f>COUNTIFS('Raw data'!L:L,"1",'Raw data'!BH:BH,1, 'Raw data'!I:I,5)+COUNTIFS('Raw data'!L:L,"2",'Raw data'!BH:BH,1, 'Raw data'!I:I,5)+COUNTIFS('Raw data'!L:L,"3",'Raw data'!BH:BH,1, 'Raw data'!I:I,5)+COUNTIFS('Raw data'!L:L,"4",'Raw data'!BH:BH,1, 'Raw data'!I:I,5)</f>
        <v>0</v>
      </c>
      <c r="K41" s="109">
        <f>IFERROR(J41/(J7-(COUNTIFS('Raw data'!K:K,"1",'Raw data'!I:I,"5",'Raw data'!BH:BH,""))),0)</f>
        <v>0</v>
      </c>
      <c r="L41" s="108">
        <f>COUNTIFS('Raw data'!L:L,"1",'Raw data'!BH:BH,1, 'Raw data'!I:I,6)+COUNTIFS('Raw data'!L:L,"2",'Raw data'!BH:BH,1, 'Raw data'!I:I,6)+COUNTIFS('Raw data'!L:L,"3",'Raw data'!BH:BH,1, 'Raw data'!I:I,6)+COUNTIFS('Raw data'!L:L,"4",'Raw data'!BH:BH,1, 'Raw data'!I:I,6)</f>
        <v>0</v>
      </c>
      <c r="M41" s="109">
        <f>IFERROR(L41/(L7-(COUNTIFS('Raw data'!K:K,"1",'Raw data'!I:I,"6",'Raw data'!BH:BH,""))),0)</f>
        <v>0</v>
      </c>
      <c r="N41" s="108">
        <f>COUNTIFS('Raw data'!L:L,"1",'Raw data'!BH:BH,1, 'Raw data'!I:I,7)+COUNTIFS('Raw data'!L:L,"2",'Raw data'!BH:BH,1, 'Raw data'!I:I,7)+COUNTIFS('Raw data'!L:L,"3",'Raw data'!BH:BH,1, 'Raw data'!I:I,7)+COUNTIFS('Raw data'!L:L,"4",'Raw data'!BH:BH,1, 'Raw data'!I:I,7)</f>
        <v>0</v>
      </c>
      <c r="O41" s="109">
        <f>IFERROR(N41/(N7-(COUNTIFS('Raw data'!K:K,"1",'Raw data'!I:I,"7",'Raw data'!BH:BH,""))),0)</f>
        <v>0</v>
      </c>
      <c r="P41" s="108">
        <f>COUNTIFS('Raw data'!L:L,"1",'Raw data'!BH:BH,1, 'Raw data'!I:I,8)+COUNTIFS('Raw data'!L:L,"2",'Raw data'!BH:BH,1, 'Raw data'!I:I,8)+COUNTIFS('Raw data'!L:L,"3",'Raw data'!BH:BH,1, 'Raw data'!I:I,8)+COUNTIFS('Raw data'!L:L,"4",'Raw data'!BH:BH,1, 'Raw data'!I:I,8)</f>
        <v>0</v>
      </c>
      <c r="Q41" s="109">
        <f>IFERROR(P41/(P7-(COUNTIFS('Raw data'!K:K,"1",'Raw data'!I:I,"8",'Raw data'!BH:BH,""))),0)</f>
        <v>0</v>
      </c>
      <c r="R41" s="108">
        <f>COUNTIFS('Raw data'!L:L,"1",'Raw data'!BH:BH,1, 'Raw data'!I:I,9)+COUNTIFS('Raw data'!L:L,"2",'Raw data'!BH:BH,1, 'Raw data'!I:I,9)+COUNTIFS('Raw data'!L:L,"3",'Raw data'!BH:BH,1, 'Raw data'!I:I,9)+COUNTIFS('Raw data'!L:L,"4",'Raw data'!BH:BH,1, 'Raw data'!I:I,9)</f>
        <v>0</v>
      </c>
      <c r="S41" s="109">
        <f>IFERROR(R41/(R7-(COUNTIFS('Raw data'!K:K,"1",'Raw data'!I:I,"9",'Raw data'!BH:BH,""))),0)</f>
        <v>0</v>
      </c>
      <c r="T41" s="108">
        <f>COUNTIFS('Raw data'!L:L,"1",'Raw data'!BH:BH,1, 'Raw data'!I:I,10)+COUNTIFS('Raw data'!L:L,"2",'Raw data'!BH:BH,1, 'Raw data'!I:I,10)+COUNTIFS('Raw data'!L:L,"3",'Raw data'!BH:BH,1, 'Raw data'!I:I,10)+COUNTIFS('Raw data'!L:L,"4",'Raw data'!BH:BH,1, 'Raw data'!I:I,10)</f>
        <v>0</v>
      </c>
      <c r="U41" s="109">
        <f>IFERROR(T41/(T7-(COUNTIFS('Raw data'!K:K,"1",'Raw data'!I:I,"10",'Raw data'!BH:BH,""))),0)</f>
        <v>0</v>
      </c>
    </row>
    <row r="42" spans="1:21" ht="16" x14ac:dyDescent="0.2">
      <c r="A42" s="95" t="s">
        <v>289</v>
      </c>
      <c r="B42" s="108">
        <f>COUNTIFS('Raw data'!L:L,"1",'Raw data'!BL:BL,1, 'Raw data'!I:I,1)+COUNTIFS('Raw data'!L:L,"2",'Raw data'!BL:BL,1, 'Raw data'!I:I,1)+COUNTIFS('Raw data'!L:L,"3",'Raw data'!BL:BL,1, 'Raw data'!I:I,1)+COUNTIFS('Raw data'!L:L,"4",'Raw data'!BL:BL,1, 'Raw data'!I:I,1)</f>
        <v>0</v>
      </c>
      <c r="C42" s="109">
        <f>IFERROR(B42/(B7-(COUNTIFS('Raw data'!K:K,"1",'Raw data'!I:I,"1",'Raw data'!BL:BL,""))), 0)</f>
        <v>0</v>
      </c>
      <c r="D42" s="108">
        <f>COUNTIFS('Raw data'!L:L,"1",'Raw data'!BL:BL,1, 'Raw data'!I:I,2)+COUNTIFS('Raw data'!L:L,"2",'Raw data'!BL:BL,1, 'Raw data'!I:I,2)+COUNTIFS('Raw data'!L:L,"3",'Raw data'!BL:BL,1, 'Raw data'!I:I,2)+COUNTIFS('Raw data'!L:L,"4",'Raw data'!BL:BL,1, 'Raw data'!I:I,2)</f>
        <v>0</v>
      </c>
      <c r="E42" s="109">
        <f>IFERROR(D42/(D7-(COUNTIFS('Raw data'!K:K,"1",'Raw data'!I:I,"2",'Raw data'!BL:BL,""))), 0)</f>
        <v>0</v>
      </c>
      <c r="F42" s="108">
        <f>COUNTIFS('Raw data'!L:L,"1",'Raw data'!BL:BL,1, 'Raw data'!I:I,3)+COUNTIFS('Raw data'!L:L,"2",'Raw data'!BL:BL,1, 'Raw data'!I:I,3)+COUNTIFS('Raw data'!L:L,"3",'Raw data'!BL:BL,1, 'Raw data'!I:I,3)+COUNTIFS('Raw data'!L:L,"4",'Raw data'!BL:BL,1, 'Raw data'!I:I,3)</f>
        <v>0</v>
      </c>
      <c r="G42" s="109">
        <f>IFERROR(F42/(F7-(COUNTIFS('Raw data'!K:K,"1",'Raw data'!I:I,"3",'Raw data'!BL:BL,""))),0)</f>
        <v>0</v>
      </c>
      <c r="H42" s="108">
        <f>COUNTIFS('Raw data'!L:L,"1",'Raw data'!BL:BL,1, 'Raw data'!I:I,4)+COUNTIFS('Raw data'!L:L,"2",'Raw data'!BL:BL,1, 'Raw data'!I:I,4)+COUNTIFS('Raw data'!L:L,"3",'Raw data'!BL:BL,1, 'Raw data'!I:I,4)+COUNTIFS('Raw data'!L:L,"4",'Raw data'!BL:BL,1, 'Raw data'!I:I,4)</f>
        <v>0</v>
      </c>
      <c r="I42" s="109">
        <f>IFERROR(H42/(H7-(COUNTIFS('Raw data'!K:K,"1",'Raw data'!I:I,"4",'Raw data'!BL:BL,""))),0)</f>
        <v>0</v>
      </c>
      <c r="J42" s="108">
        <f>COUNTIFS('Raw data'!L:L,"1",'Raw data'!BL:BL,1, 'Raw data'!I:I,5)+COUNTIFS('Raw data'!L:L,"2",'Raw data'!BL:BL,1, 'Raw data'!I:I,5)+COUNTIFS('Raw data'!L:L,"3",'Raw data'!BL:BL,1, 'Raw data'!I:I,5)+COUNTIFS('Raw data'!L:L,"4",'Raw data'!BL:BL,1, 'Raw data'!I:I,5)</f>
        <v>0</v>
      </c>
      <c r="K42" s="109">
        <f>IFERROR(J42/(J7-(COUNTIFS('Raw data'!K:K,"1",'Raw data'!I:I,"5",'Raw data'!BL:BL,""))),0)</f>
        <v>0</v>
      </c>
      <c r="L42" s="108">
        <f>COUNTIFS('Raw data'!L:L,"1",'Raw data'!BL:BL,1, 'Raw data'!I:I,6)+COUNTIFS('Raw data'!L:L,"2",'Raw data'!BL:BL,1, 'Raw data'!I:I,6)+COUNTIFS('Raw data'!L:L,"3",'Raw data'!BL:BL,1, 'Raw data'!I:I,6)+COUNTIFS('Raw data'!L:L,"4",'Raw data'!BL:BL,1, 'Raw data'!I:I,6)</f>
        <v>0</v>
      </c>
      <c r="M42" s="109">
        <f>IFERROR(L42/(L7-(COUNTIFS('Raw data'!K:K,"1",'Raw data'!I:I,"6",'Raw data'!BL:BL,""))),0)</f>
        <v>0</v>
      </c>
      <c r="N42" s="108">
        <f>COUNTIFS('Raw data'!L:L,"1",'Raw data'!BL:BL,1, 'Raw data'!I:I,7)+COUNTIFS('Raw data'!L:L,"2",'Raw data'!BL:BL,1, 'Raw data'!I:I,7)+COUNTIFS('Raw data'!L:L,"3",'Raw data'!BL:BL,1, 'Raw data'!I:I,7)+COUNTIFS('Raw data'!L:L,"4",'Raw data'!BL:BL,1, 'Raw data'!I:I,7)</f>
        <v>0</v>
      </c>
      <c r="O42" s="109">
        <f>IFERROR(N42/(N7-(COUNTIFS('Raw data'!K:K,"1",'Raw data'!I:I,"7",'Raw data'!BL:BL,""))),0)</f>
        <v>0</v>
      </c>
      <c r="P42" s="108">
        <f>COUNTIFS('Raw data'!L:L,"1",'Raw data'!BL:BL,1, 'Raw data'!I:I,8)+COUNTIFS('Raw data'!L:L,"2",'Raw data'!BL:BL,1, 'Raw data'!I:I,8)+COUNTIFS('Raw data'!L:L,"3",'Raw data'!BL:BL,1, 'Raw data'!I:I,8)+COUNTIFS('Raw data'!L:L,"4",'Raw data'!BL:BL,1, 'Raw data'!I:I,8)</f>
        <v>0</v>
      </c>
      <c r="Q42" s="109">
        <f>IFERROR(P42/(P7-(COUNTIFS('Raw data'!K:K,"1",'Raw data'!I:I,"8",'Raw data'!BL:BL,""))),0)</f>
        <v>0</v>
      </c>
      <c r="R42" s="108">
        <f>COUNTIFS('Raw data'!L:L,"1",'Raw data'!BL:BL,1, 'Raw data'!I:I,9)+COUNTIFS('Raw data'!L:L,"2",'Raw data'!BL:BL,1, 'Raw data'!I:I,9)+COUNTIFS('Raw data'!L:L,"3",'Raw data'!BL:BL,1, 'Raw data'!I:I,9)+COUNTIFS('Raw data'!L:L,"4",'Raw data'!BL:BL,1, 'Raw data'!I:I,9)</f>
        <v>0</v>
      </c>
      <c r="S42" s="109">
        <f>IFERROR(R42/(R7-(COUNTIFS('Raw data'!K:K,"1",'Raw data'!I:I,"9",'Raw data'!BL:BL,""))),0)</f>
        <v>0</v>
      </c>
      <c r="T42" s="108">
        <f>COUNTIFS('Raw data'!L:L,"1",'Raw data'!BL:BL,1, 'Raw data'!I:I,10)+COUNTIFS('Raw data'!L:L,"2",'Raw data'!BL:BL,1, 'Raw data'!I:I,10)+COUNTIFS('Raw data'!L:L,"3",'Raw data'!BL:BL,1, 'Raw data'!I:I,10)+COUNTIFS('Raw data'!L:L,"4",'Raw data'!BL:BL,1, 'Raw data'!I:I,10)</f>
        <v>0</v>
      </c>
      <c r="U42" s="109">
        <f>IFERROR(T42/(T7-(COUNTIFS('Raw data'!K:K,"1",'Raw data'!I:I,"10",'Raw data'!BL:BL,""))),0)</f>
        <v>0</v>
      </c>
    </row>
    <row r="43" spans="1:21" ht="48" x14ac:dyDescent="0.2">
      <c r="A43" s="95" t="s">
        <v>290</v>
      </c>
      <c r="B43" s="108">
        <f>COUNTIFS('Raw data'!L:L,"1",'Raw data'!BO:BO,1,'Raw data'!I:I,1)+COUNTIFS('Raw data'!L:L,"2",'Raw data'!BO:BO,1, 'Raw data'!I:I,1)+COUNTIFS('Raw data'!L:L,"3",'Raw data'!BO:BO,1, 'Raw data'!I:I,1)+COUNTIFS('Raw data'!L:L,"4",'Raw data'!BO:BO,1, 'Raw data'!I:I,1)</f>
        <v>0</v>
      </c>
      <c r="C43" s="109">
        <f>IFERROR(B43/(B7-(COUNTIFS('Raw data'!I:I,"1",'Raw data'!K:K,1,'Raw data'!BO:BO,3))-(COUNTIFS('Raw data'!K:K,"1",'Raw data'!I:I,"1",'Raw data'!BO:BO,""))),0)</f>
        <v>0</v>
      </c>
      <c r="D43" s="108">
        <f>COUNTIFS('Raw data'!L:L,"1",'Raw data'!BO:BO,1, 'Raw data'!I:I,2)+COUNTIFS('Raw data'!L:L,"2",'Raw data'!BO:BO,1, 'Raw data'!I:I,2)+COUNTIFS('Raw data'!L:L,"3",'Raw data'!BO:BO,1, 'Raw data'!I:I,2)+COUNTIFS('Raw data'!L:L,"4",'Raw data'!BO:BO,1, 'Raw data'!I:I,2)</f>
        <v>0</v>
      </c>
      <c r="E43" s="109">
        <f>IFERROR(D43/(D7-(COUNTIFS('Raw data'!I:I,"2",'Raw data'!K:K,1,'Raw data'!BO:BO,3))-(COUNTIFS('Raw data'!K:K,"1",'Raw data'!I:I,"2",'Raw data'!BO:BO,""))),0)</f>
        <v>0</v>
      </c>
      <c r="F43" s="108">
        <f>COUNTIFS('Raw data'!L:L,"1",'Raw data'!BO:BO,1, 'Raw data'!I:I,3)+COUNTIFS('Raw data'!L:L,"2",'Raw data'!BO:BO,1, 'Raw data'!I:I,3)+COUNTIFS('Raw data'!L:L,"3",'Raw data'!BO:BO,1, 'Raw data'!I:I,3)+COUNTIFS('Raw data'!L:L,"4",'Raw data'!BO:BO,1, 'Raw data'!I:I,3)</f>
        <v>0</v>
      </c>
      <c r="G43" s="109">
        <f>IFERROR(F43/(F7-(COUNTIFS('Raw data'!I:I,"3",'Raw data'!K:K,1,'Raw data'!BO:BO,3))-(COUNTIFS('Raw data'!K:K,"1",'Raw data'!I:I,"3",'Raw data'!BO:BO,""))),0)</f>
        <v>0</v>
      </c>
      <c r="H43" s="108">
        <f>COUNTIFS('Raw data'!L:L,"1",'Raw data'!BO:BO,1, 'Raw data'!I:I,4)+COUNTIFS('Raw data'!L:L,"2",'Raw data'!BO:BO,1, 'Raw data'!I:I,4)+COUNTIFS('Raw data'!L:L,"3",'Raw data'!BO:BO,1, 'Raw data'!I:I,4)+COUNTIFS('Raw data'!L:L,"4",'Raw data'!BO:BO,1, 'Raw data'!I:I,4)</f>
        <v>0</v>
      </c>
      <c r="I43" s="109">
        <f>IFERROR(H43/(H7-(COUNTIFS('Raw data'!I:I,"4",'Raw data'!K:K,1,'Raw data'!BO:BO,3))-(COUNTIFS('Raw data'!K:K,"1",'Raw data'!I:I,"4",'Raw data'!BO:BO,""))),0)</f>
        <v>0</v>
      </c>
      <c r="J43" s="108">
        <f>COUNTIFS('Raw data'!L:L,"1",'Raw data'!BO:BO,1, 'Raw data'!I:I,5)+COUNTIFS('Raw data'!L:L,"2",'Raw data'!BO:BO,1, 'Raw data'!I:I,5)+COUNTIFS('Raw data'!L:L,"3",'Raw data'!BO:BO,1,'Raw data'!I:I,5)+COUNTIFS('Raw data'!L:L,"4",'Raw data'!BO:BO,1, 'Raw data'!I:I,5)</f>
        <v>0</v>
      </c>
      <c r="K43" s="109">
        <f>IFERROR(J43/(J7-(COUNTIFS('Raw data'!I:I,"5",'Raw data'!K:K,1,'Raw data'!BO:BO,3))-(COUNTIFS('Raw data'!K:K,"1",'Raw data'!I:I,"5",'Raw data'!BO:BO,""))),0)</f>
        <v>0</v>
      </c>
      <c r="L43" s="108">
        <f>COUNTIFS('Raw data'!L:L,"1",'Raw data'!BO:BO,1, 'Raw data'!I:I,6)+COUNTIFS('Raw data'!L:L,"2",'Raw data'!BO:BO,1, 'Raw data'!I:I,6)+COUNTIFS('Raw data'!L:L,"3",'Raw data'!BO:BO,1, 'Raw data'!I:I,6)+COUNTIFS('Raw data'!L:L,"4",'Raw data'!BO:BO,1, 'Raw data'!I:I,6)</f>
        <v>0</v>
      </c>
      <c r="M43" s="109">
        <f>IFERROR(L43/(L7-(COUNTIFS('Raw data'!I:I,"6",'Raw data'!K:K,1,'Raw data'!BO:BO,3))-(COUNTIFS('Raw data'!K:K,"1",'Raw data'!I:I,"6",'Raw data'!BO:BO,""))),0)</f>
        <v>0</v>
      </c>
      <c r="N43" s="108">
        <f>COUNTIFS('Raw data'!L:L,"1",'Raw data'!BO:BO,1,'Raw data'!I:I,7)+COUNTIFS('Raw data'!L:L,"2",'Raw data'!BO:BO,1, 'Raw data'!I:I,7)+COUNTIFS('Raw data'!L:L,"3",'Raw data'!BO:BO,1, 'Raw data'!I:I,7)+COUNTIFS('Raw data'!L:L,"4",'Raw data'!BO:BO,1, 'Raw data'!I:I,7)</f>
        <v>0</v>
      </c>
      <c r="O43" s="109">
        <f>IFERROR(N43/(N7-(COUNTIFS('Raw data'!I:I,"7",'Raw data'!K:K,1,'Raw data'!BO:BO,3))-(COUNTIFS('Raw data'!K:K,"1",'Raw data'!I:I,"7",'Raw data'!BO:BO,""))),0)</f>
        <v>0</v>
      </c>
      <c r="P43" s="108">
        <f>COUNTIFS('Raw data'!L:L,"1",'Raw data'!BO:BO,1,'Raw data'!I:I,8)+COUNTIFS('Raw data'!L:L,"2",'Raw data'!BO:BO,1, 'Raw data'!I:I,8)+COUNTIFS('Raw data'!L:L,"3",'Raw data'!BO:BO,1, 'Raw data'!I:I,8)+COUNTIFS('Raw data'!L:L,"4",'Raw data'!BO:BO,1, 'Raw data'!I:I,8)</f>
        <v>0</v>
      </c>
      <c r="Q43" s="109">
        <f>IFERROR(P43/(P7-(COUNTIFS('Raw data'!I:I,"8",'Raw data'!K:K,1,'Raw data'!BO:BO,3))-(COUNTIFS('Raw data'!K:K,"1",'Raw data'!I:I,"8",'Raw data'!BO:BO,""))),0)</f>
        <v>0</v>
      </c>
      <c r="R43" s="108">
        <f>COUNTIFS('Raw data'!L:L,"1",'Raw data'!BO:BO,1, 'Raw data'!I:I,9)+COUNTIFS('Raw data'!L:L,"2",'Raw data'!BO:BO,1, 'Raw data'!I:I,9)+COUNTIFS('Raw data'!L:L,"3",'Raw data'!BO:BO,1, 'Raw data'!I:I,9)+COUNTIFS('Raw data'!L:L,"4",'Raw data'!BO:BO,1,'Raw data'!I:I,9)</f>
        <v>0</v>
      </c>
      <c r="S43" s="109">
        <f>IFERROR(R43/(R7-(COUNTIFS('Raw data'!I:I,"9",'Raw data'!K:K,1,'Raw data'!BO:BO,3))-(COUNTIFS('Raw data'!K:K,"1",'Raw data'!I:I,"9",'Raw data'!BO:BO,""))),0)</f>
        <v>0</v>
      </c>
      <c r="T43" s="108">
        <f>COUNTIFS('Raw data'!L:L,"1",'Raw data'!BO:BO,1, 'Raw data'!I:I,10)+COUNTIFS('Raw data'!L:L,"2",'Raw data'!BO:BO,1, 'Raw data'!I:I,10)+COUNTIFS('Raw data'!L:L,"3",'Raw data'!BO:BO,1, 'Raw data'!I:I,10)+COUNTIFS('Raw data'!L:L,"4",'Raw data'!BO:BO,1, 'Raw data'!I:I,10)</f>
        <v>0</v>
      </c>
      <c r="U43" s="109">
        <f>IFERROR(T43/(T7-(COUNTIFS('Raw data'!I:I,"10",'Raw data'!K:K,1,'Raw data'!BO:BO,3))-(COUNTIFS('Raw data'!K:K,"1",'Raw data'!I:I,"10",'Raw data'!BO:BO,""))),0)</f>
        <v>0</v>
      </c>
    </row>
    <row r="44" spans="1:21" ht="16" x14ac:dyDescent="0.2">
      <c r="A44" s="95" t="s">
        <v>291</v>
      </c>
      <c r="B44" s="108">
        <f>COUNTIFS('Raw data'!L:L,"1",'Raw data'!BQ:BQ,1, 'Raw data'!I:I,1)+COUNTIFS('Raw data'!L:L,"2",'Raw data'!BQ:BQ,1, 'Raw data'!I:I,1)+COUNTIFS('Raw data'!L:L,"3",'Raw data'!BQ:BQ,1, 'Raw data'!I:I,1)+COUNTIFS('Raw data'!L:L,"4",'Raw data'!BQ:BQ,1, 'Raw data'!I:I,1)</f>
        <v>0</v>
      </c>
      <c r="C44" s="109">
        <f>IFERROR(B44/(B7-(COUNTIFS('Raw data'!K:K,"1",'Raw data'!I:I,"1",'Raw data'!BQ:BQ,""))), 0)</f>
        <v>0</v>
      </c>
      <c r="D44" s="108">
        <f>COUNTIFS('Raw data'!L:L,"1",'Raw data'!BQ:BQ,1, 'Raw data'!I:I,2)+COUNTIFS('Raw data'!L:L,"2",'Raw data'!BQ:BQ,1, 'Raw data'!I:I,2)+COUNTIFS('Raw data'!L:L,"3",'Raw data'!BQ:BQ,1, 'Raw data'!I:I,2)+COUNTIFS('Raw data'!L:L,"4",'Raw data'!BQ:BQ,1, 'Raw data'!I:I,2)</f>
        <v>0</v>
      </c>
      <c r="E44" s="109">
        <f>IFERROR(D44/(D7-(COUNTIFS('Raw data'!K:K,"1",'Raw data'!I:I,"2",'Raw data'!BQ:BQ,""))), 0)</f>
        <v>0</v>
      </c>
      <c r="F44" s="108">
        <f>COUNTIFS('Raw data'!L:L,"1",'Raw data'!BQ:BQ,1, 'Raw data'!I:I,3)+COUNTIFS('Raw data'!L:L,"2",'Raw data'!BQ:BQ,1, 'Raw data'!I:I,3)+COUNTIFS('Raw data'!L:L,"3",'Raw data'!BQ:BQ,1, 'Raw data'!I:I,3)+COUNTIFS('Raw data'!L:L,"4",'Raw data'!BQ:BQ,1, 'Raw data'!I:I,3)</f>
        <v>0</v>
      </c>
      <c r="G44" s="109">
        <f>IFERROR(F44/(F7-(COUNTIFS('Raw data'!K:K,"1",'Raw data'!I:I,"3",'Raw data'!BQ:BQ,""))),0)</f>
        <v>0</v>
      </c>
      <c r="H44" s="108">
        <f>COUNTIFS('Raw data'!L:L,"1",'Raw data'!BQ:BQ,1, 'Raw data'!I:I,4)+COUNTIFS('Raw data'!L:L,"2",'Raw data'!BQ:BQ,1, 'Raw data'!I:I,4)+COUNTIFS('Raw data'!L:L,"3",'Raw data'!BQ:BQ,1, 'Raw data'!I:I,4)+COUNTIFS('Raw data'!L:L,"4",'Raw data'!BQ:BQ,1, 'Raw data'!I:I,4)</f>
        <v>0</v>
      </c>
      <c r="I44" s="109">
        <f>IFERROR(H44/(H7-(COUNTIFS('Raw data'!K:K,"1",'Raw data'!I:I,"4",'Raw data'!BQ:BQ,""))),0)</f>
        <v>0</v>
      </c>
      <c r="J44" s="108">
        <f>COUNTIFS('Raw data'!L:L,"1",'Raw data'!BQ:BQ,1, 'Raw data'!I:I,5)+COUNTIFS('Raw data'!L:L,"2",'Raw data'!BQ:BQ,1, 'Raw data'!I:I,5)+COUNTIFS('Raw data'!L:L,"3",'Raw data'!BQ:BQ,1, 'Raw data'!I:I,5)+COUNTIFS('Raw data'!L:L,"4",'Raw data'!BQ:BQ,1, 'Raw data'!I:I,5)</f>
        <v>0</v>
      </c>
      <c r="K44" s="109">
        <f>IFERROR(J44/(J7-(COUNTIFS('Raw data'!K:K,"1",'Raw data'!I:I,"5",'Raw data'!BQ:BQ,""))),0)</f>
        <v>0</v>
      </c>
      <c r="L44" s="108">
        <f>COUNTIFS('Raw data'!L:L,"1",'Raw data'!BQ:BQ,1, 'Raw data'!I:I,6)+COUNTIFS('Raw data'!L:L,"2",'Raw data'!BQ:BQ,1, 'Raw data'!I:I,6)+COUNTIFS('Raw data'!L:L,"3",'Raw data'!BQ:BQ,1, 'Raw data'!I:I,6)+COUNTIFS('Raw data'!L:L,"4",'Raw data'!BQ:BQ,1, 'Raw data'!I:I,6)</f>
        <v>0</v>
      </c>
      <c r="M44" s="109">
        <f>IFERROR(L44/(L7-(COUNTIFS('Raw data'!K:K,"1",'Raw data'!I:I,"6",'Raw data'!BQ:BQ,""))),0)</f>
        <v>0</v>
      </c>
      <c r="N44" s="108">
        <f>COUNTIFS('Raw data'!L:L,"1",'Raw data'!BQ:BQ,1, 'Raw data'!I:I,7)+COUNTIFS('Raw data'!L:L,"2",'Raw data'!BQ:BQ,1, 'Raw data'!I:I,7)+COUNTIFS('Raw data'!L:L,"3",'Raw data'!BQ:BQ,1, 'Raw data'!I:I,7)+COUNTIFS('Raw data'!L:L,"4",'Raw data'!BQ:BQ,1, 'Raw data'!I:I,7)</f>
        <v>0</v>
      </c>
      <c r="O44" s="109">
        <f>IFERROR(N44/(N7-(COUNTIFS('Raw data'!K:K,"1",'Raw data'!I:I,"7",'Raw data'!BQ:BQ,""))),0)</f>
        <v>0</v>
      </c>
      <c r="P44" s="108">
        <f>COUNTIFS('Raw data'!L:L,"1",'Raw data'!BQ:BQ,1, 'Raw data'!I:I,8)+COUNTIFS('Raw data'!L:L,"2",'Raw data'!BQ:BQ,1, 'Raw data'!I:I,8)+COUNTIFS('Raw data'!L:L,"3",'Raw data'!BQ:BQ,1, 'Raw data'!I:I,8)+COUNTIFS('Raw data'!L:L,"4",'Raw data'!BQ:BQ,1, 'Raw data'!I:I,8)</f>
        <v>0</v>
      </c>
      <c r="Q44" s="109">
        <f>IFERROR(P44/(P7-(COUNTIFS('Raw data'!K:K,"1",'Raw data'!I:I,"8",'Raw data'!BQ:BQ,""))),0)</f>
        <v>0</v>
      </c>
      <c r="R44" s="108">
        <f>COUNTIFS('Raw data'!L:L,"1",'Raw data'!BQ:BQ,1, 'Raw data'!I:I,9)+COUNTIFS('Raw data'!L:L,"2",'Raw data'!BQ:BQ,1, 'Raw data'!I:I,9)+COUNTIFS('Raw data'!L:L,"3",'Raw data'!BQ:BQ,1, 'Raw data'!I:I,9)+COUNTIFS('Raw data'!L:L,"4",'Raw data'!BQ:BQ,1, 'Raw data'!I:I,9)</f>
        <v>0</v>
      </c>
      <c r="S44" s="109">
        <f>IFERROR(R44/(R7-(COUNTIFS('Raw data'!K:K,"1",'Raw data'!I:I,"9",'Raw data'!BQ:BQ,""))),0)</f>
        <v>0</v>
      </c>
      <c r="T44" s="108">
        <f>COUNTIFS('Raw data'!L:L,"1",'Raw data'!BQ:BQ,1, 'Raw data'!I:I,10)+COUNTIFS('Raw data'!L:L,"2",'Raw data'!BQ:BQ,1, 'Raw data'!I:I,10)+COUNTIFS('Raw data'!L:L,"3",'Raw data'!BQ:BQ,1, 'Raw data'!I:I,10)+COUNTIFS('Raw data'!L:L,"4",'Raw data'!BQ:BQ,1, 'Raw data'!I:I,10)</f>
        <v>0</v>
      </c>
      <c r="U44" s="109">
        <f>IFERROR(T44/(T7-(COUNTIFS('Raw data'!K:K,"1",'Raw data'!I:I,"10",'Raw data'!BQ:BQ,""))),0)</f>
        <v>0</v>
      </c>
    </row>
    <row r="45" spans="1:21" ht="48" x14ac:dyDescent="0.2">
      <c r="A45" s="95" t="s">
        <v>292</v>
      </c>
      <c r="B45" s="108">
        <f>COUNTIFS('Raw data'!K:K,"1",'Raw data'!I:I,1,'Raw data'!BS:BS,1,'Raw data'!BT:BT,1,'Raw data'!BU:BU,1,'Raw data'!BV:BV,"1",'Raw data'!BW:BW,1)</f>
        <v>0</v>
      </c>
      <c r="C45" s="109">
        <f>IFERROR(B45/(B7-(COUNTIFS('Raw data'!K:K,"1",'Raw data'!I:I,"1",'Raw data'!BS:BS,"")+(COUNTIFS('Raw data'!K:K,"1",'Raw data'!I:I,"1",'Raw data'!BT:BT,"")+(COUNTIFS('Raw data'!K:K,"1",'Raw data'!I:I,"1",'Raw data'!BU:BU,"")+(COUNTIFS('Raw data'!K:K,"1",'Raw data'!I:I,"1",'Raw data'!BV:BV,"")+(COUNTIFS('Raw data'!K:K,"1",'Raw data'!I:I,"1",'Raw data'!BW:BW,""))))))),0)</f>
        <v>0</v>
      </c>
      <c r="D45" s="108">
        <f>COUNTIFS('Raw data'!K:K,"1",'Raw data'!I:I,2,'Raw data'!BS:BS,1,'Raw data'!BT:BT,1,'Raw data'!BU:BU,1,'Raw data'!BV:BV,"1",'Raw data'!BW:BW,1)</f>
        <v>0</v>
      </c>
      <c r="E45" s="109">
        <f>IFERROR(D45/(D7-(COUNTIFS('Raw data'!K:K,"1",'Raw data'!I:I,"2",'Raw data'!BS:BS,"")+(COUNTIFS('Raw data'!K:K,"1",'Raw data'!I:I,"2",'Raw data'!BT:BT,"")+(COUNTIFS('Raw data'!K:K,"1",'Raw data'!I:I,"2",'Raw data'!BU:BU,"")+(COUNTIFS('Raw data'!K:K,"1",'Raw data'!I:I,"2",'Raw data'!BV:BV,"")+(COUNTIFS('Raw data'!K:K,"1",'Raw data'!I:I,"2",'Raw data'!BW:BW,""))))))),0)</f>
        <v>0</v>
      </c>
      <c r="F45" s="108">
        <f>COUNTIFS('Raw data'!K:K,"1",'Raw data'!I:I,3,'Raw data'!BS:BS,1,'Raw data'!BT:BT,1,'Raw data'!BU:BU,1,'Raw data'!BV:BV,"1",'Raw data'!BW:BW,1)</f>
        <v>0</v>
      </c>
      <c r="G45" s="109">
        <f>IFERROR(F45/(F7-(COUNTIFS('Raw data'!K:K,"1",'Raw data'!I:I,"3",'Raw data'!BS:BS,"")+(COUNTIFS('Raw data'!K:K,"1",'Raw data'!I:I,"3",'Raw data'!BT:BT,"")+(COUNTIFS('Raw data'!K:K,"1",'Raw data'!I:I,"3",'Raw data'!BU:BU,"")+(COUNTIFS('Raw data'!K:K,"1",'Raw data'!I:I,"3",'Raw data'!BV:BV,"")+(COUNTIFS('Raw data'!K:K,"1",'Raw data'!I:I,"3",'Raw data'!BW:BW,""))))))),0)</f>
        <v>0</v>
      </c>
      <c r="H45" s="108">
        <f>COUNTIFS('Raw data'!K:K,"1",'Raw data'!I:I,4,'Raw data'!BS:BS,1,'Raw data'!BT:BT,1,'Raw data'!BU:BU,1,'Raw data'!BV:BV,"1",'Raw data'!BW:BW,1)</f>
        <v>0</v>
      </c>
      <c r="I45" s="109">
        <f>IFERROR(H45/(H7-(COUNTIFS('Raw data'!K:K,"1",'Raw data'!I:I,"4",'Raw data'!BS:BS,"")+(COUNTIFS('Raw data'!K:K,"1",'Raw data'!I:I,"4",'Raw data'!BT:BT,"")+(COUNTIFS('Raw data'!K:K,"1",'Raw data'!I:I,"4",'Raw data'!BU:BU,"")+(COUNTIFS('Raw data'!K:K,"1",'Raw data'!I:I,"4",'Raw data'!BV:BV,"")+(COUNTIFS('Raw data'!K:K,"1",'Raw data'!I:I,"4",'Raw data'!BW:BW,""))))))),0)</f>
        <v>0</v>
      </c>
      <c r="J45" s="108">
        <f>COUNTIFS('Raw data'!K:K,"1",'Raw data'!I:I,5,'Raw data'!BS:BS,1,'Raw data'!BT:BT,1,'Raw data'!BU:BU,1,'Raw data'!BV:BV,"1",'Raw data'!BW:BW,1)</f>
        <v>0</v>
      </c>
      <c r="K45" s="109">
        <f>IFERROR(J45/(J7-(COUNTIFS('Raw data'!K:K,"1",'Raw data'!I:I,"5",'Raw data'!BS:BS,"")+(COUNTIFS('Raw data'!K:K,"1",'Raw data'!I:I,"5",'Raw data'!BT:BT,"")+(COUNTIFS('Raw data'!K:K,"1",'Raw data'!I:I,"5",'Raw data'!BU:BU,"")+(COUNTIFS('Raw data'!K:K,"1",'Raw data'!I:I,"5",'Raw data'!BV:BV,"")+(COUNTIFS('Raw data'!K:K,"1",'Raw data'!I:I,"5",'Raw data'!BW:BW,""))))))),0)</f>
        <v>0</v>
      </c>
      <c r="L45" s="108">
        <f>COUNTIFS('Raw data'!K:K,"1",'Raw data'!I:I,6,'Raw data'!BS:BS,1,'Raw data'!BT:BT,1,'Raw data'!BU:BU,1,'Raw data'!BV:BV,"1",'Raw data'!BW:BW,1)</f>
        <v>0</v>
      </c>
      <c r="M45" s="109">
        <f>IFERROR(L45/(L7-(COUNTIFS('Raw data'!K:K,"1",'Raw data'!I:I,"6",'Raw data'!BS:BS,"")+(COUNTIFS('Raw data'!K:K,"1",'Raw data'!I:I,"6",'Raw data'!BT:BT,"")+(COUNTIFS('Raw data'!K:K,"1",'Raw data'!I:I,"6",'Raw data'!BU:BU,"")+(COUNTIFS('Raw data'!K:K,"1",'Raw data'!I:I,"6",'Raw data'!BV:BV,"")+(COUNTIFS('Raw data'!K:K,"1",'Raw data'!I:I,"6",'Raw data'!BW:BW,""))))))),0)</f>
        <v>0</v>
      </c>
      <c r="N45" s="108">
        <f>COUNTIFS('Raw data'!K:K,"1",'Raw data'!I:I,7,'Raw data'!BS:BS,1,'Raw data'!BT:BT,1,'Raw data'!BU:BU,1,'Raw data'!BV:BV,"1",'Raw data'!BW:BW,1)</f>
        <v>0</v>
      </c>
      <c r="O45" s="109">
        <f>IFERROR(N45/(N7-(COUNTIFS('Raw data'!K:K,"1",'Raw data'!I:I,"7",'Raw data'!BS:BS,"")+(COUNTIFS('Raw data'!K:K,"1",'Raw data'!I:I,"7",'Raw data'!BT:BT,"")+(COUNTIFS('Raw data'!K:K,"1",'Raw data'!I:I,"7",'Raw data'!BU:BU,"")+(COUNTIFS('Raw data'!K:K,"1",'Raw data'!I:I,"7",'Raw data'!BV:BV,"")+(COUNTIFS('Raw data'!K:K,"1",'Raw data'!I:I,"7",'Raw data'!BW:BW,""))))))),0)</f>
        <v>0</v>
      </c>
      <c r="P45" s="108">
        <f>COUNTIFS('Raw data'!K:K,"1",'Raw data'!I:I,8,'Raw data'!BS:BS,1,'Raw data'!BT:BT,1,'Raw data'!BU:BU,1,'Raw data'!BV:BV,"1",'Raw data'!BW:BW,1)</f>
        <v>0</v>
      </c>
      <c r="Q45" s="109">
        <f>IFERROR(P45/(P7-(COUNTIFS('Raw data'!K:K,"1",'Raw data'!I:I,"8",'Raw data'!BS:BS,"")+(COUNTIFS('Raw data'!K:K,"1",'Raw data'!I:I,"8",'Raw data'!BT:BT,"")+(COUNTIFS('Raw data'!K:K,"1",'Raw data'!I:I,"8",'Raw data'!BU:BU,"")+(COUNTIFS('Raw data'!K:K,"1",'Raw data'!I:I,"8",'Raw data'!BV:BV,"")+(COUNTIFS('Raw data'!K:K,"1",'Raw data'!I:I,"8",'Raw data'!BW:BW,""))))))),0)</f>
        <v>0</v>
      </c>
      <c r="R45" s="108">
        <f>COUNTIFS('Raw data'!K:K,"1",'Raw data'!I:I,9,'Raw data'!BS:BS,1,'Raw data'!BT:BT,1,'Raw data'!BU:BU,1,'Raw data'!BV:BV,"1",'Raw data'!BW:BW,1)</f>
        <v>0</v>
      </c>
      <c r="S45" s="109">
        <f>IFERROR(R45/(R7-(COUNTIFS('Raw data'!K:K,"1",'Raw data'!I:I,"9",'Raw data'!BS:BS,"")+(COUNTIFS('Raw data'!K:K,"1",'Raw data'!I:I,"9",'Raw data'!BT:BT,"")+(COUNTIFS('Raw data'!K:K,"1",'Raw data'!I:I,"9",'Raw data'!BU:BU,"")+(COUNTIFS('Raw data'!K:K,"1",'Raw data'!I:I,"9",'Raw data'!BV:BV,"")+(COUNTIFS('Raw data'!K:K,"1",'Raw data'!I:I,"9",'Raw data'!BW:BW,""))))))),0)</f>
        <v>0</v>
      </c>
      <c r="T45" s="108">
        <f>COUNTIFS('Raw data'!K:K,"1",'Raw data'!I:I,10,'Raw data'!BS:BS,1,'Raw data'!BT:BT,1,'Raw data'!BU:BU,1,'Raw data'!BV:BV,"1",'Raw data'!BW:BW,1)</f>
        <v>0</v>
      </c>
      <c r="U45" s="109">
        <f>IFERROR(T45/(T7-(COUNTIFS('Raw data'!K:K,"1",'Raw data'!I:I,"10",'Raw data'!BS:BS,"")+(COUNTIFS('Raw data'!K:K,"1",'Raw data'!I:I,"10",'Raw data'!BT:BT,"")+(COUNTIFS('Raw data'!K:K,"1",'Raw data'!I:I,"10",'Raw data'!BU:BU,"")+(COUNTIFS('Raw data'!K:K,"1",'Raw data'!I:I,"10",'Raw data'!BV:BV,"")+(COUNTIFS('Raw data'!K:K,"1",'Raw data'!I:I,"10",'Raw data'!BW:BW,""))))))),0)</f>
        <v>0</v>
      </c>
    </row>
    <row r="46" spans="1:21" ht="33" thickBot="1" x14ac:dyDescent="0.25">
      <c r="A46" s="100" t="s">
        <v>300</v>
      </c>
      <c r="B46" s="114">
        <f>COUNTIFS('Raw data'!L:L,"1",'Raw data'!BZ:BZ,1, 'Raw data'!I:I,1)+COUNTIFS('Raw data'!L:L,"2",'Raw data'!BZ:BZ,1, 'Raw data'!I:I,1)+COUNTIFS('Raw data'!L:L,"3",'Raw data'!BZ:BZ,1, 'Raw data'!I:I,1)+COUNTIFS('Raw data'!L:L,"4",'Raw data'!BZ:BZ,1, 'Raw data'!I:I,1)</f>
        <v>0</v>
      </c>
      <c r="C46" s="287">
        <f>IFERROR(B46/(B7-(COUNTIFS('Raw data'!K:K,"1",'Raw data'!I:I,"1",'Raw data'!BZ:BZ,""))), 0)</f>
        <v>0</v>
      </c>
      <c r="D46" s="114">
        <f>COUNTIFS('Raw data'!L:L,"1",'Raw data'!BZ:BZ,1, 'Raw data'!I:I,2)+COUNTIFS('Raw data'!L:L,"2",'Raw data'!BZ:BZ,1, 'Raw data'!I:I,2)+COUNTIFS('Raw data'!L:L,"3",'Raw data'!BZ:BZ,1, 'Raw data'!I:I,2)+COUNTIFS('Raw data'!L:L,"4",'Raw data'!BZ:BZ,1, 'Raw data'!I:I,2)</f>
        <v>0</v>
      </c>
      <c r="E46" s="287">
        <f>IFERROR(D46/(D7-(COUNTIFS('Raw data'!K:K,"1",'Raw data'!I:I,"2",'Raw data'!BZ:BZ,""))), 0)</f>
        <v>0</v>
      </c>
      <c r="F46" s="114">
        <f>COUNTIFS('Raw data'!L:L,"1",'Raw data'!BZ:BZ,1, 'Raw data'!I:I,3)+COUNTIFS('Raw data'!L:L,"2",'Raw data'!BZ:BZ,1, 'Raw data'!I:I,3)+COUNTIFS('Raw data'!L:L,"3",'Raw data'!BZ:BZ,1, 'Raw data'!I:I,3)+COUNTIFS('Raw data'!L:L,"4",'Raw data'!BZ:BZ,1, 'Raw data'!I:I,3)</f>
        <v>0</v>
      </c>
      <c r="G46" s="287">
        <f>IFERROR(F46/(F7-(COUNTIFS('Raw data'!K:K,"1",'Raw data'!I:I,"3",'Raw data'!BZ:BZ,""))),0)</f>
        <v>0</v>
      </c>
      <c r="H46" s="114">
        <f>COUNTIFS('Raw data'!L:L,"1",'Raw data'!BZ:BZ,1, 'Raw data'!I:I,4)+COUNTIFS('Raw data'!L:L,"2",'Raw data'!BZ:BZ,1, 'Raw data'!I:I,4)+COUNTIFS('Raw data'!L:L,"3",'Raw data'!BZ:BZ,1, 'Raw data'!I:I,4)+COUNTIFS('Raw data'!L:L,"4",'Raw data'!BZ:BZ,1, 'Raw data'!I:I,4)</f>
        <v>0</v>
      </c>
      <c r="I46" s="287">
        <f>IFERROR(H46/(H7-(COUNTIFS('Raw data'!K:K,"1",'Raw data'!I:I,"4",'Raw data'!BZ:BZ,""))),0)</f>
        <v>0</v>
      </c>
      <c r="J46" s="114">
        <f>COUNTIFS('Raw data'!L:L,"1",'Raw data'!BZ:BZ,1, 'Raw data'!I:I,5)+COUNTIFS('Raw data'!L:L,"2",'Raw data'!BZ:BZ,1, 'Raw data'!I:I,5)+COUNTIFS('Raw data'!L:L,"3",'Raw data'!BZ:BZ,1, 'Raw data'!I:I,5)+COUNTIFS('Raw data'!L:L,"4",'Raw data'!BZ:BZ,1, 'Raw data'!I:I,5)</f>
        <v>0</v>
      </c>
      <c r="K46" s="287">
        <f>IFERROR(J46/(J7-(COUNTIFS('Raw data'!K:K,"1",'Raw data'!I:I,"5",'Raw data'!BZ:BZ,""))),0)</f>
        <v>0</v>
      </c>
      <c r="L46" s="114">
        <f>COUNTIFS('Raw data'!L:L,"1",'Raw data'!BZ:BZ,1, 'Raw data'!I:I,6)+COUNTIFS('Raw data'!L:L,"2",'Raw data'!BZ:BZ,1, 'Raw data'!I:I,6)+COUNTIFS('Raw data'!L:L,"3",'Raw data'!BZ:BZ,1, 'Raw data'!I:I,6)+COUNTIFS('Raw data'!L:L,"4",'Raw data'!BZ:BZ,1, 'Raw data'!I:I,6)</f>
        <v>0</v>
      </c>
      <c r="M46" s="287">
        <f>IFERROR(L46/(L7-(COUNTIFS('Raw data'!K:K,"1",'Raw data'!I:I,"6",'Raw data'!BZ:BZ,""))),0)</f>
        <v>0</v>
      </c>
      <c r="N46" s="114">
        <f>COUNTIFS('Raw data'!L:L,"1",'Raw data'!BZ:BZ,1, 'Raw data'!I:I,7)+COUNTIFS('Raw data'!L:L,"2",'Raw data'!BZ:BZ,1, 'Raw data'!I:I,7)+COUNTIFS('Raw data'!L:L,"3",'Raw data'!BZ:BZ,1, 'Raw data'!I:I,7)+COUNTIFS('Raw data'!L:L,"4",'Raw data'!BZ:BZ,1, 'Raw data'!I:I,7)</f>
        <v>0</v>
      </c>
      <c r="O46" s="287">
        <f>IFERROR(N46/(N7-(COUNTIFS('Raw data'!K:K,"1",'Raw data'!I:I,"7",'Raw data'!BZ:BZ,""))),0)</f>
        <v>0</v>
      </c>
      <c r="P46" s="114">
        <f>COUNTIFS('Raw data'!L:L,"1",'Raw data'!BZ:BZ,1, 'Raw data'!I:I,8)+COUNTIFS('Raw data'!L:L,"2",'Raw data'!BZ:BZ,1, 'Raw data'!I:I,8)+COUNTIFS('Raw data'!L:L,"3",'Raw data'!BZ:BZ,1, 'Raw data'!I:I,8)+COUNTIFS('Raw data'!L:L,"4",'Raw data'!BZ:BZ,1, 'Raw data'!I:I,8)</f>
        <v>0</v>
      </c>
      <c r="Q46" s="287">
        <f>IFERROR(P46/(P7-(COUNTIFS('Raw data'!K:K,"1",'Raw data'!I:I,"8",'Raw data'!BZ:BZ,""))),0)</f>
        <v>0</v>
      </c>
      <c r="R46" s="114">
        <f>COUNTIFS('Raw data'!L:L,"1",'Raw data'!BZ:BZ,1, 'Raw data'!I:I,9)+COUNTIFS('Raw data'!L:L,"2",'Raw data'!BZ:BZ,1, 'Raw data'!I:I,9)+COUNTIFS('Raw data'!L:L,"3",'Raw data'!BZ:BZ,1, 'Raw data'!I:I,9)+COUNTIFS('Raw data'!L:L,"4",'Raw data'!BZ:BZ,1, 'Raw data'!I:I,9)</f>
        <v>0</v>
      </c>
      <c r="S46" s="287">
        <f>IFERROR(R46/(R7-(COUNTIFS('Raw data'!K:K,"1",'Raw data'!I:I,"9",'Raw data'!BZ:BZ,""))),0)</f>
        <v>0</v>
      </c>
      <c r="T46" s="114">
        <f>COUNTIFS('Raw data'!L:L,"1",'Raw data'!BZ:BZ,1, 'Raw data'!I:I,10)+COUNTIFS('Raw data'!L:L,"2",'Raw data'!BZ:BZ,1, 'Raw data'!I:I,10)+COUNTIFS('Raw data'!L:L,"3",'Raw data'!BZ:BZ,1, 'Raw data'!I:I,10)+COUNTIFS('Raw data'!L:L,"4",'Raw data'!BZ:BZ,1, 'Raw data'!I:I,10)</f>
        <v>0</v>
      </c>
      <c r="U46" s="287">
        <f>IFERROR(T46/(T7-(COUNTIFS('Raw data'!K:K,"1",'Raw data'!I:I,"10",'Raw data'!BZ:BZ,""))),0)</f>
        <v>0</v>
      </c>
    </row>
    <row r="47" spans="1:21" ht="16" thickBot="1" x14ac:dyDescent="0.25">
      <c r="A47" s="55"/>
      <c r="B47" s="62"/>
      <c r="C47" s="62"/>
      <c r="D47" s="62"/>
      <c r="E47" s="62"/>
      <c r="F47" s="62"/>
      <c r="G47" s="62"/>
      <c r="H47" s="62"/>
      <c r="I47" s="62"/>
      <c r="J47" s="62"/>
      <c r="K47" s="62"/>
      <c r="L47" s="62"/>
      <c r="M47" s="62"/>
      <c r="N47" s="55"/>
      <c r="O47" s="55"/>
      <c r="P47" s="55"/>
      <c r="Q47" s="55"/>
      <c r="R47" s="55"/>
      <c r="S47" s="55"/>
      <c r="T47" s="55"/>
      <c r="U47" s="55"/>
    </row>
    <row r="48" spans="1:21" ht="16" thickBot="1" x14ac:dyDescent="0.25">
      <c r="A48" s="93" t="s">
        <v>301</v>
      </c>
      <c r="B48" s="96" t="s">
        <v>252</v>
      </c>
      <c r="C48" s="97" t="s">
        <v>239</v>
      </c>
      <c r="D48" s="96" t="s">
        <v>252</v>
      </c>
      <c r="E48" s="97" t="s">
        <v>239</v>
      </c>
      <c r="F48" s="96" t="s">
        <v>252</v>
      </c>
      <c r="G48" s="97" t="s">
        <v>239</v>
      </c>
      <c r="H48" s="96" t="s">
        <v>252</v>
      </c>
      <c r="I48" s="97" t="s">
        <v>239</v>
      </c>
      <c r="J48" s="96" t="s">
        <v>252</v>
      </c>
      <c r="K48" s="97" t="s">
        <v>239</v>
      </c>
      <c r="L48" s="102" t="s">
        <v>252</v>
      </c>
      <c r="M48" s="103" t="s">
        <v>239</v>
      </c>
      <c r="N48" s="72" t="s">
        <v>252</v>
      </c>
      <c r="O48" s="73" t="s">
        <v>239</v>
      </c>
      <c r="P48" s="72" t="s">
        <v>252</v>
      </c>
      <c r="Q48" s="73" t="s">
        <v>239</v>
      </c>
      <c r="R48" s="72" t="s">
        <v>252</v>
      </c>
      <c r="S48" s="73" t="s">
        <v>239</v>
      </c>
      <c r="T48" s="110" t="s">
        <v>252</v>
      </c>
      <c r="U48" s="123" t="s">
        <v>239</v>
      </c>
    </row>
    <row r="49" spans="1:21" x14ac:dyDescent="0.2">
      <c r="A49" s="94" t="s">
        <v>302</v>
      </c>
      <c r="B49" s="108">
        <f>COUNTIFS('Raw data'!L:L,"1",'Raw data'!CA:CA,1, 'Raw data'!I:I,1)+COUNTIFS('Raw data'!L:L,"2",'Raw data'!CA:CA,1, 'Raw data'!I:I,1)+COUNTIFS('Raw data'!L:L,"3",'Raw data'!CA:CA,1, 'Raw data'!I:I,1)+COUNTIFS('Raw data'!L:L,"4",'Raw data'!CA:CA,1, 'Raw data'!I:I,1)</f>
        <v>0</v>
      </c>
      <c r="C49" s="109">
        <f>IFERROR(B49/(B7-(COUNTIFS('Raw data'!I:I,1,'Raw data'!K:K,1,'Raw data'!CA:CA,3))-(COUNTIFS('Raw data'!K:K,"1",'Raw data'!I:I,"1",'Raw data'!CA:CA,""))), 0)</f>
        <v>0</v>
      </c>
      <c r="D49" s="108">
        <f>COUNTIFS('Raw data'!L:L,"1",'Raw data'!CA:CA,1, 'Raw data'!I:I,2)+COUNTIFS('Raw data'!L:L,"2",'Raw data'!CA:CA,1, 'Raw data'!I:I,2)+COUNTIFS('Raw data'!L:L,"3",'Raw data'!CA:CA,1, 'Raw data'!I:I,2)+COUNTIFS('Raw data'!L:L,"4",'Raw data'!CA:CA,1, 'Raw data'!I:I,2)</f>
        <v>0</v>
      </c>
      <c r="E49" s="109">
        <f>IFERROR(D49/(D7-(COUNTIFS('Raw data'!I:I,"2",'Raw data'!K:K,1,'Raw data'!CA:CA,3))-(COUNTIFS('Raw data'!K:K,"1",'Raw data'!I:I,"2",'Raw data'!CA:CA,""))), 0)</f>
        <v>0</v>
      </c>
      <c r="F49" s="108">
        <f>COUNTIFS('Raw data'!L:L,"1",'Raw data'!CA:CA,1, 'Raw data'!I:I,3)+COUNTIFS('Raw data'!L:L,"2",'Raw data'!CA:CA,1, 'Raw data'!I:I,3)+COUNTIFS('Raw data'!L:L,"3",'Raw data'!CA:CA,1, 'Raw data'!I:I,3)+COUNTIFS('Raw data'!L:L,"4",'Raw data'!CA:CA,1, 'Raw data'!I:I,3)</f>
        <v>0</v>
      </c>
      <c r="G49" s="109">
        <f>IFERROR(F49/(F7-(COUNTIFS('Raw data'!I:I,"3",'Raw data'!K:K,1,'Raw data'!CA:CA,3))-(COUNTIFS('Raw data'!K:K,"1",'Raw data'!I:I,"3",'Raw data'!CA:CA,""))),0)</f>
        <v>0</v>
      </c>
      <c r="H49" s="108">
        <f>COUNTIFS('Raw data'!L:L,"1",'Raw data'!CA:CA,1,'Raw data'!I:I,4)+COUNTIFS('Raw data'!L:L,"2",'Raw data'!CA:CA,1,'Raw data'!I:I,4)+COUNTIFS('Raw data'!L:L,"3",'Raw data'!CA:CA,1,'Raw data'!I:I,4)+COUNTIFS('Raw data'!L:L,"4",'Raw data'!CA:CA,1,'Raw data'!I:I,4)</f>
        <v>0</v>
      </c>
      <c r="I49" s="109">
        <f>IFERROR(H49/(H7-(COUNTIFS('Raw data'!I:I,"4",'Raw data'!K:K,1,'Raw data'!CA:CA,3))-(COUNTIFS('Raw data'!K:K,"1",'Raw data'!I:I,"4",'Raw data'!CA:CA,""))),0)</f>
        <v>0</v>
      </c>
      <c r="J49" s="108">
        <f>COUNTIFS('Raw data'!L:L,"1",'Raw data'!CA:CA,1, 'Raw data'!I:I,5)+COUNTIFS('Raw data'!L:L,"2",'Raw data'!CA:CA,1, 'Raw data'!I:I,5)+COUNTIFS('Raw data'!L:L,"3",'Raw data'!CA:CA,1, 'Raw data'!I:I,5)+COUNTIFS('Raw data'!L:L,"4",'Raw data'!CA:CA,1, 'Raw data'!I:I,5)</f>
        <v>0</v>
      </c>
      <c r="K49" s="109">
        <f>IFERROR(J49/(J7-(COUNTIFS('Raw data'!I:I,"5",'Raw data'!K:K,1,'Raw data'!CA:CA,3))-(COUNTIFS('Raw data'!K:K,"1",'Raw data'!I:I,"5",'Raw data'!CA:CA,""))),0)</f>
        <v>0</v>
      </c>
      <c r="L49" s="106">
        <f>COUNTIFS('Raw data'!L:L,"1",'Raw data'!CA:CA,1, 'Raw data'!I:I,6)+COUNTIFS('Raw data'!L:L,"2",'Raw data'!CA:CA,1, 'Raw data'!I:I,6)+COUNTIFS('Raw data'!L:L,"3",'Raw data'!CA:CA,1, 'Raw data'!I:I,6)+COUNTIFS('Raw data'!L:L,"4",'Raw data'!CA:CA,1, 'Raw data'!I:I,6)</f>
        <v>0</v>
      </c>
      <c r="M49" s="107">
        <f>IFERROR(L49/(L7-(COUNTIFS('Raw data'!I:I,"6",'Raw data'!K:K,1,'Raw data'!CA:CA,3))-(COUNTIFS('Raw data'!K:K,"1",'Raw data'!I:I,"6",'Raw data'!CA:CA,""))),0)</f>
        <v>0</v>
      </c>
      <c r="N49" s="115">
        <f>COUNTIFS('Raw data'!L:L,"1",'Raw data'!CA:CA,1, 'Raw data'!I:I,7)+COUNTIFS('Raw data'!L:L,"2",'Raw data'!CA:CA,1, 'Raw data'!I:I,7)+COUNTIFS('Raw data'!L:L,"3",'Raw data'!CA:CA,1, 'Raw data'!I:I,7)+COUNTIFS('Raw data'!L:L,"4",'Raw data'!CA:CA,1, 'Raw data'!I:I,7)</f>
        <v>0</v>
      </c>
      <c r="O49" s="192">
        <f>IFERROR(N49/(N7-(COUNTIFS('Raw data'!I:I,"7",'Raw data'!K:K,1,'Raw data'!CA:CA,3))-(COUNTIFS('Raw data'!K:K,"1",'Raw data'!I:I,"7",'Raw data'!CA:CA,""))),0)</f>
        <v>0</v>
      </c>
      <c r="P49" s="115">
        <f>COUNTIFS('Raw data'!L:L,"1",'Raw data'!CA:CA,1, 'Raw data'!I:I,8)+COUNTIFS('Raw data'!L:L,"2",'Raw data'!CA:CA,1, 'Raw data'!I:I,8)+COUNTIFS('Raw data'!L:L,"3",'Raw data'!CA:CA,1, 'Raw data'!I:I,8)+COUNTIFS('Raw data'!L:L,"4",'Raw data'!CA:CA,1, 'Raw data'!I:I,8)</f>
        <v>0</v>
      </c>
      <c r="Q49" s="192">
        <f>IFERROR(P49/(P7-(COUNTIFS('Raw data'!I:I,"8",'Raw data'!K:K,1,'Raw data'!CA:CA,3))-(COUNTIFS('Raw data'!K:K,"1",'Raw data'!I:I,"8",'Raw data'!CA:CA,""))),0)</f>
        <v>0</v>
      </c>
      <c r="R49" s="115">
        <f>COUNTIFS('Raw data'!L:L,"1",'Raw data'!CA:CA,1, 'Raw data'!I:I,9)+COUNTIFS('Raw data'!L:L,"2",'Raw data'!CA:CA,1, 'Raw data'!I:I,9)+COUNTIFS('Raw data'!L:L,"3",'Raw data'!CA:CA,1, 'Raw data'!I:I,9)+COUNTIFS('Raw data'!L:L,"4",'Raw data'!CA:CA,1, 'Raw data'!I:I,9)</f>
        <v>0</v>
      </c>
      <c r="S49" s="192">
        <f>IFERROR(R49/(R7-(COUNTIFS('Raw data'!I:I,"9",'Raw data'!K:K,1,'Raw data'!CA:CA,3))-(COUNTIFS('Raw data'!K:K,"1",'Raw data'!I:I,"9",'Raw data'!CA:CA,""))),0)</f>
        <v>0</v>
      </c>
      <c r="T49" s="108">
        <f>COUNTIFS('Raw data'!L:L,"1",'Raw data'!CA:CA,1, 'Raw data'!I:I,10)+COUNTIFS('Raw data'!L:L,"2",'Raw data'!CA:CA,1, 'Raw data'!I:I,10)+COUNTIFS('Raw data'!L:L,"3",'Raw data'!CA:CA,1, 'Raw data'!I:I,10)+COUNTIFS('Raw data'!L:L,"4",'Raw data'!CA:CA,1, 'Raw data'!I:I,10)</f>
        <v>0</v>
      </c>
      <c r="U49" s="109">
        <f>IFERROR(T49/(T7-(COUNTIFS('Raw data'!I:I,"10",'Raw data'!K:K,1,'Raw data'!CA:CA,3))-(COUNTIFS('Raw data'!K:K,"1",'Raw data'!I:I,"10",'Raw data'!CA:CA,""))),0)</f>
        <v>0</v>
      </c>
    </row>
    <row r="50" spans="1:21" ht="32" x14ac:dyDescent="0.2">
      <c r="A50" s="95" t="s">
        <v>320</v>
      </c>
      <c r="B50" s="108">
        <f>COUNTIFS('Raw data'!L:L,"1",'Raw data'!CE:CE,1, 'Raw data'!I:I,1)+COUNTIFS('Raw data'!L:L,"2",'Raw data'!CE:CE,1, 'Raw data'!I:I,1)+COUNTIFS('Raw data'!L:L,"3",'Raw data'!CE:CE,1, 'Raw data'!I:I,1)+COUNTIFS('Raw data'!L:L,"4",'Raw data'!CE:CE,1, 'Raw data'!I:I,1)</f>
        <v>0</v>
      </c>
      <c r="C50" s="109">
        <f>IFERROR(B50/(B7-(COUNTIFS('Raw data'!I:I,1,'Raw data'!K:K,1,'Raw data'!CE:CE,2))-(COUNTIFS('Raw data'!K:K,"1",'Raw data'!I:I,"1",'Raw data'!CE:CE,""))), 0)</f>
        <v>0</v>
      </c>
      <c r="D50" s="108">
        <f>COUNTIFS('Raw data'!L:L,"1",'Raw data'!CE:CE,1, 'Raw data'!I:I,2)+COUNTIFS('Raw data'!L:L,"2",'Raw data'!CE:CE,1, 'Raw data'!I:I,2)+COUNTIFS('Raw data'!L:L,"3",'Raw data'!CE:CE,1, 'Raw data'!I:I,2)+COUNTIFS('Raw data'!L:L,"4",'Raw data'!CE:CE,1, 'Raw data'!I:I,2)</f>
        <v>0</v>
      </c>
      <c r="E50" s="109">
        <f>IFERROR(D50/(D7-COUNTIFS('Raw data'!I:I,"2",'Raw data'!K:K,1,'Raw data'!CE:CE,2))-(COUNTIFS('Raw data'!K:K,"1",'Raw data'!I:I,"2",'Raw data'!CE:CE,"")), 0)</f>
        <v>0</v>
      </c>
      <c r="F50" s="108">
        <f>COUNTIFS('Raw data'!L:L,"1",'Raw data'!CE:CE,1, 'Raw data'!I:I,3)+COUNTIFS('Raw data'!L:L,"2",'Raw data'!CE:CE,1, 'Raw data'!I:I,3)+COUNTIFS('Raw data'!L:L,"3",'Raw data'!CE:CE,1, 'Raw data'!I:I,3)+COUNTIFS('Raw data'!L:L,"4",'Raw data'!CE:CE,1, 'Raw data'!I:I,3)</f>
        <v>0</v>
      </c>
      <c r="G50" s="109">
        <f>IFERROR(F50/(F7-COUNTIFS('Raw data'!I:I,"3",'Raw data'!K:K,1,'Raw data'!CE:CE,2))-(COUNTIFS('Raw data'!K:K,"1",'Raw data'!I:I,"3",'Raw data'!CE:CE,"")), 0)</f>
        <v>0</v>
      </c>
      <c r="H50" s="108">
        <f>COUNTIFS('Raw data'!L:L,"1",'Raw data'!CE:CE,1, 'Raw data'!I:I,4)+COUNTIFS('Raw data'!L:L,"2",'Raw data'!CE:CE,1, 'Raw data'!I:I,4)+COUNTIFS('Raw data'!L:L,"3",'Raw data'!CE:CE,1, 'Raw data'!I:I,4)+COUNTIFS('Raw data'!L:L,"4",'Raw data'!CE:CE,1, 'Raw data'!I:I,4)</f>
        <v>0</v>
      </c>
      <c r="I50" s="293">
        <f>IFERROR(H50/(H7-(COUNTIFS('Raw data'!I:I,"4",'Raw data'!K:K,1,'Raw data'!CE:CE,2))-(COUNTIFS('Raw data'!K:K,"1",'Raw data'!I:I,"4",'Raw data'!CE:CE,""))), 0)</f>
        <v>0</v>
      </c>
      <c r="J50" s="108">
        <f>COUNTIFS('Raw data'!L:L,"1",'Raw data'!CE:CE,1, 'Raw data'!I:I,5)+COUNTIFS('Raw data'!L:L,"2",'Raw data'!CE:CE,1, 'Raw data'!I:I,5)+COUNTIFS('Raw data'!L:L,"3",'Raw data'!CE:CE,1, 'Raw data'!I:I,5)+COUNTIFS('Raw data'!L:L,"4",'Raw data'!CE:CE,1, 'Raw data'!I:I,5)</f>
        <v>0</v>
      </c>
      <c r="K50" s="109">
        <f>IFERROR(J50/(J7-(COUNTIFS('Raw data'!I:I,"5",'Raw data'!K:K,1,'Raw data'!CE:CE,2))-(COUNTIFS('Raw data'!K:K,"1",'Raw data'!I:I,"5",'Raw data'!CE:CE,""))), 0)</f>
        <v>0</v>
      </c>
      <c r="L50" s="108">
        <f>COUNTIFS('Raw data'!L:L,"1",'Raw data'!CE:CE,1, 'Raw data'!I:I,6)+COUNTIFS('Raw data'!L:L,"2",'Raw data'!CE:CE,1, 'Raw data'!I:I,6)+COUNTIFS('Raw data'!L:L,"3",'Raw data'!CE:CE,1, 'Raw data'!I:I,6)+COUNTIFS('Raw data'!L:L,"4",'Raw data'!CE:CE,1, 'Raw data'!I:I,6)</f>
        <v>0</v>
      </c>
      <c r="M50" s="109">
        <f>IFERROR(L50/(L7-(COUNTIFS('Raw data'!I:I,"6",'Raw data'!K:K,1,'Raw data'!CE:CE,2))-(COUNTIFS('Raw data'!K:K,"1",'Raw data'!I:I,"6",'Raw data'!CE:CE,""))), 0)</f>
        <v>0</v>
      </c>
      <c r="N50" s="108">
        <f>COUNTIFS('Raw data'!L:L,"1",'Raw data'!CE:CE,1, 'Raw data'!I:I,7)+COUNTIFS('Raw data'!L:L,"2",'Raw data'!CE:CE,1, 'Raw data'!I:I,7)+COUNTIFS('Raw data'!L:L,"3",'Raw data'!CE:CE,1, 'Raw data'!I:I,7)+COUNTIFS('Raw data'!L:L,"4",'Raw data'!CE:CE,1, 'Raw data'!I:I,7)</f>
        <v>0</v>
      </c>
      <c r="O50" s="109">
        <f>IFERROR(N50/(N7-(COUNTIFS('Raw data'!I:I,"7",'Raw data'!K:K,1,'Raw data'!CE:CE,2))-(COUNTIFS('Raw data'!K:K,"1",'Raw data'!I:I,"7",'Raw data'!CE:CE,""))), 0)</f>
        <v>0</v>
      </c>
      <c r="P50" s="108">
        <f>COUNTIFS('Raw data'!L:L,"1",'Raw data'!CE:CE,1, 'Raw data'!I:I,8)+COUNTIFS('Raw data'!L:L,"2",'Raw data'!CE:CE,1, 'Raw data'!I:I,8)+COUNTIFS('Raw data'!L:L,"3",'Raw data'!CE:CE,1, 'Raw data'!I:I,8)+COUNTIFS('Raw data'!L:L,"4",'Raw data'!CE:CE,1, 'Raw data'!I:I,8)</f>
        <v>0</v>
      </c>
      <c r="Q50" s="109">
        <f>IFERROR(P50/(P7-(COUNTIFS('Raw data'!I:I,"8",'Raw data'!K:K,1,'Raw data'!CE:CE,2))-(COUNTIFS('Raw data'!K:K,"1",'Raw data'!I:I,"8",'Raw data'!CE:CE,""))), 0)</f>
        <v>0</v>
      </c>
      <c r="R50" s="108">
        <f>COUNTIFS('Raw data'!L:L,"1",'Raw data'!CE:CE,1, 'Raw data'!I:I,9)+COUNTIFS('Raw data'!L:L,"2",'Raw data'!CE:CE,1, 'Raw data'!I:I,9)+COUNTIFS('Raw data'!L:L,"3",'Raw data'!CE:CE,1, 'Raw data'!I:I,9)+COUNTIFS('Raw data'!L:L,"4",'Raw data'!CE:CE,1, 'Raw data'!I:I,9)</f>
        <v>0</v>
      </c>
      <c r="S50" s="109">
        <f>IFERROR(R50/(R7-COUNTIFS('Raw data'!I:I,"9",'Raw data'!K:K,1,'Raw data'!CE:CE,2))-(COUNTIFS('Raw data'!K:K,"1",'Raw data'!I:I,"9",'Raw data'!CE:CE,"")), 0)</f>
        <v>0</v>
      </c>
      <c r="T50" s="108">
        <f>COUNTIFS('Raw data'!L:L,"1",'Raw data'!CE:CE,1, 'Raw data'!I:I,10)+COUNTIFS('Raw data'!L:L,"2",'Raw data'!CE:CE,1, 'Raw data'!I:I,10)+COUNTIFS('Raw data'!L:L,"3",'Raw data'!CE:CE,1, 'Raw data'!I:I,10)+COUNTIFS('Raw data'!L:L,"4",'Raw data'!CE:CE,1, 'Raw data'!I:I,10)</f>
        <v>0</v>
      </c>
      <c r="U50" s="109">
        <f>IFERROR(T50/(T7-(COUNTIFS('Raw data'!I:I,"10",'Raw data'!K:K,1,'Raw data'!CE:CE,2))-(COUNTIFS('Raw data'!K:K,"1",'Raw data'!I:I,"10",'Raw data'!CE:CE,""))), 0)</f>
        <v>0</v>
      </c>
    </row>
    <row r="51" spans="1:21" x14ac:dyDescent="0.2">
      <c r="A51" s="94" t="s">
        <v>306</v>
      </c>
      <c r="B51" s="108">
        <f>COUNTIFS('Raw data'!L:L,"1",'Raw data'!CG:CG,1, 'Raw data'!I:I,1)+COUNTIFS('Raw data'!L:L,"2",'Raw data'!CG:CG,1, 'Raw data'!I:I,1)+COUNTIFS('Raw data'!L:L,"3",'Raw data'!CG:CG,1, 'Raw data'!I:I,1)+COUNTIFS('Raw data'!L:L,"4",'Raw data'!CG:CG,1, 'Raw data'!I:I,1)</f>
        <v>0</v>
      </c>
      <c r="C51" s="109">
        <f>IFERROR(B51/(B7-(COUNTIFS('Raw data'!K:K,"1",'Raw data'!I:I,"1",'Raw data'!CG:CG,""))), 0)</f>
        <v>0</v>
      </c>
      <c r="D51" s="108">
        <f>COUNTIFS('Raw data'!L:L,"1",'Raw data'!CG:CG,1, 'Raw data'!I:I,2)+COUNTIFS('Raw data'!L:L,"2",'Raw data'!CG:CG,1, 'Raw data'!I:I,2)+COUNTIFS('Raw data'!L:L,"3",'Raw data'!CG:CG,1, 'Raw data'!I:I,2)+COUNTIFS('Raw data'!L:L,"4",'Raw data'!CG:CG,1, 'Raw data'!I:I,2)</f>
        <v>0</v>
      </c>
      <c r="E51" s="109">
        <f>IFERROR(D51/(D7-(COUNTIFS('Raw data'!K:K,"1",'Raw data'!I:I,"2",'Raw data'!CG:CG,""))), 0)</f>
        <v>0</v>
      </c>
      <c r="F51" s="108">
        <f>COUNTIFS('Raw data'!L:L,"1",'Raw data'!CG:CG,1, 'Raw data'!I:I,3)+COUNTIFS('Raw data'!L:L,"2",'Raw data'!CG:CG,1, 'Raw data'!I:I,3)+COUNTIFS('Raw data'!L:L,"3",'Raw data'!CG:CG,1, 'Raw data'!I:I,3)+COUNTIFS('Raw data'!L:L,"4",'Raw data'!CG:CG,1, 'Raw data'!I:I,3)</f>
        <v>0</v>
      </c>
      <c r="G51" s="109">
        <f>IFERROR(F51/(F7-(COUNTIFS('Raw data'!K:K,"1",'Raw data'!I:I,"3",'Raw data'!CG:CG,""))),0)</f>
        <v>0</v>
      </c>
      <c r="H51" s="108">
        <f>COUNTIFS('Raw data'!L:L,"1",'Raw data'!CG:CG,1, 'Raw data'!I:I,4)+COUNTIFS('Raw data'!L:L,"2",'Raw data'!CG:CG,1, 'Raw data'!I:I,4)+COUNTIFS('Raw data'!L:L,"3",'Raw data'!CG:CG,1, 'Raw data'!I:I,4)+COUNTIFS('Raw data'!L:L,"4",'Raw data'!CG:CG,1, 'Raw data'!I:I,4)</f>
        <v>0</v>
      </c>
      <c r="I51" s="109">
        <f>IFERROR(H51/(H7-(COUNTIFS('Raw data'!K:K,"1",'Raw data'!I:I,"4",'Raw data'!CG:CG,""))),0)</f>
        <v>0</v>
      </c>
      <c r="J51" s="108">
        <f>COUNTIFS('Raw data'!L:L,"1",'Raw data'!CG:CG,1, 'Raw data'!I:I,5)+COUNTIFS('Raw data'!L:L,"2",'Raw data'!CG:CG,1, 'Raw data'!I:I,5)+COUNTIFS('Raw data'!L:L,"3",'Raw data'!CG:CG,1, 'Raw data'!I:I,5)+COUNTIFS('Raw data'!L:L,"4",'Raw data'!CG:CG,1, 'Raw data'!I:I,5)</f>
        <v>0</v>
      </c>
      <c r="K51" s="109">
        <f>IFERROR(J51/(J7-(COUNTIFS('Raw data'!K:K,"1",'Raw data'!I:I,"5",'Raw data'!CG:CG,""))),0)</f>
        <v>0</v>
      </c>
      <c r="L51" s="108">
        <f>COUNTIFS('Raw data'!L:L,"1",'Raw data'!CG:CG,1, 'Raw data'!I:I,6)+COUNTIFS('Raw data'!L:L,"2",'Raw data'!CG:CG,1, 'Raw data'!I:I,6)+COUNTIFS('Raw data'!L:L,"3",'Raw data'!CG:CG,1, 'Raw data'!I:I,6)+COUNTIFS('Raw data'!L:L,"4",'Raw data'!CG:CG,1, 'Raw data'!I:I,6)</f>
        <v>0</v>
      </c>
      <c r="M51" s="109">
        <f>IFERROR(L51/(L7-(COUNTIFS('Raw data'!K:K,"1",'Raw data'!I:I,"6",'Raw data'!CG:CG,""))),0)</f>
        <v>0</v>
      </c>
      <c r="N51" s="108">
        <f>COUNTIFS('Raw data'!L:L,"1",'Raw data'!CG:CG,1, 'Raw data'!I:I,7)+COUNTIFS('Raw data'!L:L,"2",'Raw data'!CG:CG,1, 'Raw data'!I:I,7)+COUNTIFS('Raw data'!L:L,"3",'Raw data'!CG:CG,1, 'Raw data'!I:I,7)+COUNTIFS('Raw data'!L:L,"4",'Raw data'!CG:CG,1, 'Raw data'!I:I,7)</f>
        <v>0</v>
      </c>
      <c r="O51" s="109">
        <f>IFERROR(N51/(N7-(COUNTIFS('Raw data'!K:K,"1",'Raw data'!I:I,"7",'Raw data'!CG:CG,""))),0)</f>
        <v>0</v>
      </c>
      <c r="P51" s="108">
        <f>COUNTIFS('Raw data'!L:L,"1",'Raw data'!CG:CG,1, 'Raw data'!I:I,8)+COUNTIFS('Raw data'!L:L,"2",'Raw data'!CG:CG,1, 'Raw data'!I:I,8)+COUNTIFS('Raw data'!L:L,"3",'Raw data'!CG:CG,1, 'Raw data'!I:I,8)+COUNTIFS('Raw data'!L:L,"4",'Raw data'!CG:CG,1, 'Raw data'!I:I,8)</f>
        <v>0</v>
      </c>
      <c r="Q51" s="109">
        <f>IFERROR(P51/(P7-(COUNTIFS('Raw data'!K:K,"1",'Raw data'!I:I,"8",'Raw data'!CG:CG,""))),0)</f>
        <v>0</v>
      </c>
      <c r="R51" s="108">
        <f>COUNTIFS('Raw data'!L:L,"1",'Raw data'!CG:CG,1, 'Raw data'!I:I,9)+COUNTIFS('Raw data'!L:L,"2",'Raw data'!CG:CG,1, 'Raw data'!I:I,9)+COUNTIFS('Raw data'!L:L,"3",'Raw data'!CG:CG,1, 'Raw data'!I:I,9)+COUNTIFS('Raw data'!L:L,"4",'Raw data'!CG:CG,1, 'Raw data'!I:I,9)</f>
        <v>0</v>
      </c>
      <c r="S51" s="109">
        <f>IFERROR(R51/(R7-(COUNTIFS('Raw data'!K:K,"1",'Raw data'!I:I,"9",'Raw data'!CG:CG,""))),0)</f>
        <v>0</v>
      </c>
      <c r="T51" s="108">
        <f>COUNTIFS('Raw data'!L:L,"1",'Raw data'!CG:CG,1, 'Raw data'!I:I,10)+COUNTIFS('Raw data'!L:L,"2",'Raw data'!CG:CG,1, 'Raw data'!I:I,10)+COUNTIFS('Raw data'!L:L,"3",'Raw data'!CG:CG,1, 'Raw data'!I:I,10)+COUNTIFS('Raw data'!L:L,"4",'Raw data'!CG:CG,1, 'Raw data'!I:I,10)</f>
        <v>0</v>
      </c>
      <c r="U51" s="109">
        <f>IFERROR(T51/(T7-(COUNTIFS('Raw data'!K:K,"1",'Raw data'!I:I,"10",'Raw data'!CG:CG,""))),0)</f>
        <v>0</v>
      </c>
    </row>
    <row r="52" spans="1:21" ht="32" x14ac:dyDescent="0.2">
      <c r="A52" s="95" t="s">
        <v>307</v>
      </c>
      <c r="B52" s="108">
        <f>COUNTIFS('Raw data'!L:L,"1",'Raw data'!CI:CI,1, 'Raw data'!I:I,1)+COUNTIFS('Raw data'!L:L,"2",'Raw data'!CI:CI,1, 'Raw data'!I:I,1)+COUNTIFS('Raw data'!L:L,"3",'Raw data'!CI:CI,1, 'Raw data'!I:I,1)+COUNTIFS('Raw data'!L:L,"4",'Raw data'!CI:CI,1, 'Raw data'!I:I,1)</f>
        <v>0</v>
      </c>
      <c r="C52" s="109">
        <f>IFERROR(B52/(B7-(COUNTIFS('Raw data'!K:K,"1",'Raw data'!I:I,"1",'Raw data'!CI:CI,""))), 0)</f>
        <v>0</v>
      </c>
      <c r="D52" s="108">
        <f>COUNTIFS('Raw data'!L:L,"1",'Raw data'!CI:CI,1, 'Raw data'!I:I,2)+COUNTIFS('Raw data'!L:L,"2",'Raw data'!CI:CI,1, 'Raw data'!I:I,2)+COUNTIFS('Raw data'!L:L,"3",'Raw data'!CI:CI,1, 'Raw data'!I:I,2)+COUNTIFS('Raw data'!L:L,"4",'Raw data'!CI:CI,1, 'Raw data'!I:I,2)</f>
        <v>0</v>
      </c>
      <c r="E52" s="109">
        <f>IFERROR(D52/(D7-(COUNTIFS('Raw data'!K:K,"1",'Raw data'!I:I,"2",'Raw data'!CI:CI,""))), 0)</f>
        <v>0</v>
      </c>
      <c r="F52" s="108">
        <f>COUNTIFS('Raw data'!L:L,"1",'Raw data'!CI:CI,1, 'Raw data'!I:I,3)+COUNTIFS('Raw data'!L:L,"2",'Raw data'!CI:CI,1, 'Raw data'!I:I,3)+COUNTIFS('Raw data'!L:L,"3",'Raw data'!CI:CI,1, 'Raw data'!I:I,3)+COUNTIFS('Raw data'!L:L,"4",'Raw data'!CI:CI,1, 'Raw data'!I:I,3)</f>
        <v>0</v>
      </c>
      <c r="G52" s="109">
        <f>IFERROR(F52/(F7-(COUNTIFS('Raw data'!K:K,"1",'Raw data'!I:I,"3",'Raw data'!CI:CI,""))),0)</f>
        <v>0</v>
      </c>
      <c r="H52" s="108">
        <f>COUNTIFS('Raw data'!L:L,"1",'Raw data'!CI:CI,1, 'Raw data'!I:I,4)+COUNTIFS('Raw data'!L:L,"2",'Raw data'!CI:CI,1, 'Raw data'!I:I,4)+COUNTIFS('Raw data'!L:L,"3",'Raw data'!CI:CI,1, 'Raw data'!I:I,4)+COUNTIFS('Raw data'!L:L,"4",'Raw data'!CI:CI,1, 'Raw data'!I:I,4)</f>
        <v>0</v>
      </c>
      <c r="I52" s="109">
        <f>IFERROR(H52/(H7-(COUNTIFS('Raw data'!K:K,"1",'Raw data'!I:I,"4",'Raw data'!CI:CI,""))),0)</f>
        <v>0</v>
      </c>
      <c r="J52" s="108">
        <f>COUNTIFS('Raw data'!L:L,"1",'Raw data'!CI:CI,1, 'Raw data'!I:I,5)+COUNTIFS('Raw data'!L:L,"2",'Raw data'!CI:CI,1, 'Raw data'!I:I,5)+COUNTIFS('Raw data'!L:L,"3",'Raw data'!CI:CI,1, 'Raw data'!I:I,5)+COUNTIFS('Raw data'!L:L,"4",'Raw data'!CI:CI,1, 'Raw data'!I:I,5)</f>
        <v>0</v>
      </c>
      <c r="K52" s="109">
        <f>IFERROR(J52/(J7-(COUNTIFS('Raw data'!K:K,"1",'Raw data'!I:I,"5",'Raw data'!CI:CI,""))),0)</f>
        <v>0</v>
      </c>
      <c r="L52" s="108">
        <f>COUNTIFS('Raw data'!L:L,"1",'Raw data'!CI:CI,1, 'Raw data'!I:I,6)+COUNTIFS('Raw data'!L:L,"2",'Raw data'!CI:CI,1, 'Raw data'!I:I,6)+COUNTIFS('Raw data'!L:L,"3",'Raw data'!CI:CI,1, 'Raw data'!I:I,6)+COUNTIFS('Raw data'!L:L,"4",'Raw data'!CI:CI,1, 'Raw data'!I:I,6)</f>
        <v>0</v>
      </c>
      <c r="M52" s="109">
        <f>IFERROR(L52/(L7-(COUNTIFS('Raw data'!K:K,"1",'Raw data'!I:I,"6",'Raw data'!CI:CI,""))),0)</f>
        <v>0</v>
      </c>
      <c r="N52" s="108">
        <f>COUNTIFS('Raw data'!L:L,"1",'Raw data'!CI:CI,1, 'Raw data'!I:I,7)+COUNTIFS('Raw data'!L:L,"2",'Raw data'!CI:CI,1, 'Raw data'!I:I,7)+COUNTIFS('Raw data'!L:L,"3",'Raw data'!CI:CI,1, 'Raw data'!I:I,7)+COUNTIFS('Raw data'!L:L,"4",'Raw data'!CI:CI,1, 'Raw data'!I:I,7)</f>
        <v>0</v>
      </c>
      <c r="O52" s="109">
        <f>IFERROR(N52/(N7-(COUNTIFS('Raw data'!K:K,"1",'Raw data'!I:I,"7",'Raw data'!CI:CI,""))),0)</f>
        <v>0</v>
      </c>
      <c r="P52" s="108">
        <f>COUNTIFS('Raw data'!L:L,"1",'Raw data'!CI:CI,1, 'Raw data'!I:I,8)+COUNTIFS('Raw data'!L:L,"2",'Raw data'!CI:CI,1, 'Raw data'!I:I,8)+COUNTIFS('Raw data'!L:L,"3",'Raw data'!CI:CI,1, 'Raw data'!I:I,8)+COUNTIFS('Raw data'!L:L,"4",'Raw data'!CI:CI,1, 'Raw data'!I:I,8)</f>
        <v>0</v>
      </c>
      <c r="Q52" s="109">
        <f>IFERROR(P52/(P7-(COUNTIFS('Raw data'!K:K,"1",'Raw data'!I:I,"8",'Raw data'!CI:CI,""))),0)</f>
        <v>0</v>
      </c>
      <c r="R52" s="108">
        <f>COUNTIFS('Raw data'!L:L,"1",'Raw data'!CI:CI,1, 'Raw data'!I:I,9)+COUNTIFS('Raw data'!L:L,"2",'Raw data'!CI:CI,1, 'Raw data'!I:I,9)+COUNTIFS('Raw data'!L:L,"3",'Raw data'!CI:CI,1, 'Raw data'!I:I,9)+COUNTIFS('Raw data'!L:L,"4",'Raw data'!CI:CI,1, 'Raw data'!I:I,9)</f>
        <v>0</v>
      </c>
      <c r="S52" s="109">
        <f>IFERROR(R52/(R7-(COUNTIFS('Raw data'!K:K,"1",'Raw data'!I:I,"9",'Raw data'!CI:CI,""))),0)</f>
        <v>0</v>
      </c>
      <c r="T52" s="108">
        <f>COUNTIFS('Raw data'!L:L,"1",'Raw data'!CI:CI,1, 'Raw data'!I:I,10)+COUNTIFS('Raw data'!L:L,"2",'Raw data'!CI:CI,1, 'Raw data'!I:I,10)+COUNTIFS('Raw data'!L:L,"3",'Raw data'!CI:CI,1, 'Raw data'!I:I,10)+COUNTIFS('Raw data'!L:L,"4",'Raw data'!CI:CI,1, 'Raw data'!I:I,10)</f>
        <v>0</v>
      </c>
      <c r="U52" s="109">
        <f>IFERROR(T52/(T7-(COUNTIFS('Raw data'!K:K,"1",'Raw data'!I:I,"10",'Raw data'!CI:CI,""))),0)</f>
        <v>0</v>
      </c>
    </row>
    <row r="53" spans="1:21" ht="32" x14ac:dyDescent="0.2">
      <c r="A53" s="95" t="s">
        <v>308</v>
      </c>
      <c r="B53" s="108">
        <f>COUNTIFS('Raw data'!L:L,"1",'Raw data'!CK:CK,1, 'Raw data'!I:I,1)+COUNTIFS('Raw data'!L:L,"2",'Raw data'!CK:CK,1, 'Raw data'!I:I,1)+COUNTIFS('Raw data'!L:L,"3",'Raw data'!CK:CK,1, 'Raw data'!I:I,1)+COUNTIFS('Raw data'!L:L,"4",'Raw data'!CK:CK,1, 'Raw data'!I:I,1)</f>
        <v>0</v>
      </c>
      <c r="C53" s="109">
        <f>IFERROR(B53/(B7-(COUNTIFS('Raw data'!K:K,"1",'Raw data'!I:I,"1",'Raw data'!CK:CK,""))), 0)</f>
        <v>0</v>
      </c>
      <c r="D53" s="108">
        <f>COUNTIFS('Raw data'!L:L,"1",'Raw data'!CK:CK,1, 'Raw data'!I:I,2)+COUNTIFS('Raw data'!L:L,"2",'Raw data'!CK:CK,1, 'Raw data'!I:I,2)+COUNTIFS('Raw data'!L:L,"3",'Raw data'!CK:CK,1, 'Raw data'!I:I,2)+COUNTIFS('Raw data'!L:L,"4",'Raw data'!CK:CK,1, 'Raw data'!I:I,2)</f>
        <v>0</v>
      </c>
      <c r="E53" s="109">
        <f>IFERROR(D53/(D7-(COUNTIFS('Raw data'!K:K,"1",'Raw data'!I:I,"2",'Raw data'!CK:CK,""))), 0)</f>
        <v>0</v>
      </c>
      <c r="F53" s="108">
        <f>COUNTIFS('Raw data'!L:L,"1",'Raw data'!CK:CK,1, 'Raw data'!I:I,3)+COUNTIFS('Raw data'!L:L,"2",'Raw data'!CK:CK,1, 'Raw data'!I:I,3)+COUNTIFS('Raw data'!L:L,"3",'Raw data'!CK:CK,1, 'Raw data'!I:I,3)+COUNTIFS('Raw data'!L:L,"4",'Raw data'!CK:CK,1, 'Raw data'!I:I,3)</f>
        <v>0</v>
      </c>
      <c r="G53" s="109">
        <f>IFERROR(F53/(F7-(COUNTIFS('Raw data'!K:K,"1",'Raw data'!I:I,"3",'Raw data'!CK:CK,""))),0)</f>
        <v>0</v>
      </c>
      <c r="H53" s="108">
        <f>COUNTIFS('Raw data'!L:L,"1",'Raw data'!CK:CK,1, 'Raw data'!I:I,4)+COUNTIFS('Raw data'!L:L,"2",'Raw data'!CK:CK,1, 'Raw data'!I:I,4)+COUNTIFS('Raw data'!L:L,"3",'Raw data'!CK:CK,1, 'Raw data'!I:I,4)+COUNTIFS('Raw data'!L:L,"4",'Raw data'!CK:CK,1, 'Raw data'!I:I,4)</f>
        <v>0</v>
      </c>
      <c r="I53" s="109">
        <f>IFERROR(H53/(H7-(COUNTIFS('Raw data'!K:K,"1",'Raw data'!I:I,"4",'Raw data'!CK:CK,""))),0)</f>
        <v>0</v>
      </c>
      <c r="J53" s="108">
        <f>COUNTIFS('Raw data'!L:L,"1",'Raw data'!CK:CK,1, 'Raw data'!I:I,5)+COUNTIFS('Raw data'!L:L,"2",'Raw data'!CK:CK,1, 'Raw data'!I:I,5)+COUNTIFS('Raw data'!L:L,"3",'Raw data'!CK:CK,1, 'Raw data'!I:I,5)+COUNTIFS('Raw data'!L:L,"4",'Raw data'!CK:CK,1, 'Raw data'!I:I,5)</f>
        <v>0</v>
      </c>
      <c r="K53" s="109">
        <f>IFERROR(J53/(J7-(COUNTIFS('Raw data'!K:K,"1",'Raw data'!I:I,"5",'Raw data'!CK:CK,""))),0)</f>
        <v>0</v>
      </c>
      <c r="L53" s="108">
        <f>COUNTIFS('Raw data'!L:L,"1",'Raw data'!CK:CK,1, 'Raw data'!I:I,6)+COUNTIFS('Raw data'!L:L,"2",'Raw data'!CK:CK,1, 'Raw data'!I:I,6)+COUNTIFS('Raw data'!L:L,"3",'Raw data'!CK:CK,1, 'Raw data'!I:I,6)+COUNTIFS('Raw data'!L:L,"4",'Raw data'!CK:CK,1, 'Raw data'!I:I,6)</f>
        <v>0</v>
      </c>
      <c r="M53" s="109">
        <f>IFERROR(L53/(L7-(COUNTIFS('Raw data'!K:K,"1",'Raw data'!I:I,"6",'Raw data'!CK:CK,""))),0)</f>
        <v>0</v>
      </c>
      <c r="N53" s="108">
        <f>COUNTIFS('Raw data'!L:L,"1",'Raw data'!CK:CK,1, 'Raw data'!I:I,7)+COUNTIFS('Raw data'!L:L,"2",'Raw data'!CK:CK,1, 'Raw data'!I:I,7)+COUNTIFS('Raw data'!L:L,"3",'Raw data'!CK:CK,1, 'Raw data'!I:I,7)+COUNTIFS('Raw data'!L:L,"4",'Raw data'!CK:CK,1, 'Raw data'!I:I,7)</f>
        <v>0</v>
      </c>
      <c r="O53" s="109">
        <f>IFERROR(N53/(N7-(COUNTIFS('Raw data'!K:K,"1",'Raw data'!I:I,"7",'Raw data'!CK:CK,""))),0)</f>
        <v>0</v>
      </c>
      <c r="P53" s="108">
        <f>COUNTIFS('Raw data'!L:L,"1",'Raw data'!CK:CK,1, 'Raw data'!I:I,8)+COUNTIFS('Raw data'!L:L,"2",'Raw data'!CK:CK,1, 'Raw data'!I:I,8)+COUNTIFS('Raw data'!L:L,"3",'Raw data'!CK:CK,1, 'Raw data'!I:I,8)+COUNTIFS('Raw data'!L:L,"4",'Raw data'!CK:CK,1, 'Raw data'!I:I,8)</f>
        <v>0</v>
      </c>
      <c r="Q53" s="109">
        <f>IFERROR(P53/(P7-(COUNTIFS('Raw data'!K:K,"1",'Raw data'!I:I,"8",'Raw data'!CK:CK,""))),0)</f>
        <v>0</v>
      </c>
      <c r="R53" s="108">
        <f>COUNTIFS('Raw data'!L:L,"1",'Raw data'!CK:CK,1, 'Raw data'!I:I,9)+COUNTIFS('Raw data'!L:L,"2",'Raw data'!CK:CK,1, 'Raw data'!I:I,9)+COUNTIFS('Raw data'!L:L,"3",'Raw data'!CK:CK,1, 'Raw data'!I:I,9)+COUNTIFS('Raw data'!L:L,"4",'Raw data'!CK:CK,1, 'Raw data'!I:I,9)</f>
        <v>0</v>
      </c>
      <c r="S53" s="109">
        <f>IFERROR(R53/(R7-(COUNTIFS('Raw data'!K:K,"1",'Raw data'!I:I,"9",'Raw data'!CK:CK,""))),0)</f>
        <v>0</v>
      </c>
      <c r="T53" s="108">
        <f>COUNTIFS('Raw data'!L:L,"1",'Raw data'!CK:CK,1, 'Raw data'!I:I,10)+COUNTIFS('Raw data'!L:L,"2",'Raw data'!CK:CK,1, 'Raw data'!I:I,10)+COUNTIFS('Raw data'!L:L,"3",'Raw data'!CK:CK,1, 'Raw data'!I:I,10)+COUNTIFS('Raw data'!L:L,"4",'Raw data'!CK:CK,1, 'Raw data'!I:I,10)</f>
        <v>0</v>
      </c>
      <c r="U53" s="109">
        <f>IFERROR(T53/(T7-(COUNTIFS('Raw data'!K:K,"1",'Raw data'!I:I,"10",'Raw data'!CK:CK,""))),0)</f>
        <v>0</v>
      </c>
    </row>
    <row r="54" spans="1:21" ht="48" x14ac:dyDescent="0.2">
      <c r="A54" s="95" t="s">
        <v>321</v>
      </c>
      <c r="B54" s="108">
        <f>COUNTIFS('Raw data'!K:K,"1",'Raw data'!I:I,"1",'Raw data'!CL:CL,"1",'Raw data'!CM:CM,1,'Raw data'!CN:CN,1)</f>
        <v>0</v>
      </c>
      <c r="C54" s="109">
        <f>IFERROR(B54/(B7-COUNTIFS('Raw data'!K:K,"1",'Raw data'!I:I,"1",'Raw data'!CO:CO,"1"))-(COUNTIFS('Raw data'!K:K,"1",'Raw data'!I:I,"1",'Raw data'!CL:CL,""))-(COUNTIFS('Raw data'!K:K,"1",'Raw data'!I:I,"1",'Raw data'!CM:CM,""))-(COUNTIFS('Raw data'!K:K,"1",'Raw data'!I:I,"1",'Raw data'!CN:CN,""))-(COUNTIFS('Raw data'!K:K,"1",'Raw data'!I:I,"1",'Raw data'!CO:CO,"")),0)</f>
        <v>0</v>
      </c>
      <c r="D54" s="108">
        <f>COUNTIFS('Raw data'!K:K,"1",'Raw data'!I:I,"2",'Raw data'!CL:CL,"1",'Raw data'!CM:CM,1,'Raw data'!CN:CN,1)</f>
        <v>0</v>
      </c>
      <c r="E54" s="109">
        <f>IFERROR(D54/(D7-COUNTIFS('Raw data'!K:K,"1",'Raw data'!I:I,"2",'Raw data'!CO:CO,"1"))-(COUNTIFS('Raw data'!K:K,"1",'Raw data'!I:I,"2",'Raw data'!CL:CL,""))-(COUNTIFS('Raw data'!K:K,"1",'Raw data'!I:I,"2",'Raw data'!CM:CM,""))-(COUNTIFS('Raw data'!K:K,"1",'Raw data'!I:I,"2",'Raw data'!CN:CN,""))-(COUNTIFS('Raw data'!K:K,"1",'Raw data'!I:I,"2",'Raw data'!CO:CO,"")),0)</f>
        <v>0</v>
      </c>
      <c r="F54" s="108">
        <f>COUNTIFS('Raw data'!K:K,"1",'Raw data'!I:I,"3",'Raw data'!CL:CL,"1",'Raw data'!CM:CM,1,'Raw data'!CN:CN,1)</f>
        <v>0</v>
      </c>
      <c r="G54" s="109">
        <f>IFERROR(F54/(F7-COUNTIFS('Raw data'!K:K,"1",'Raw data'!I:I,"3",'Raw data'!CO:CO,"1"))-(COUNTIFS('Raw data'!K:K,"1",'Raw data'!I:I,"3",'Raw data'!CL:CL,""))-(COUNTIFS('Raw data'!K:K,"1",'Raw data'!I:I,"3",'Raw data'!CM:CM,""))-(COUNTIFS('Raw data'!K:K,"1",'Raw data'!I:I,"3",'Raw data'!CN:CN,""))-(COUNTIFS('Raw data'!K:K,"1",'Raw data'!I:I,"3",'Raw data'!CO:CO,"")),0)</f>
        <v>0</v>
      </c>
      <c r="H54" s="108">
        <f>COUNTIFS('Raw data'!K:K,"1",'Raw data'!I:I,"4",'Raw data'!CL:CL,"1",'Raw data'!CM:CM,1,'Raw data'!CN:CN,1)</f>
        <v>0</v>
      </c>
      <c r="I54" s="109">
        <f>IFERROR(H54/(H7-COUNTIFS('Raw data'!K:K,"1",'Raw data'!I:I,"4",'Raw data'!CO:CO,"1"))-(COUNTIFS('Raw data'!K:K,"1",'Raw data'!I:I,"4",'Raw data'!CL:CL,""))-(COUNTIFS('Raw data'!K:K,"1",'Raw data'!I:I,"4",'Raw data'!CM:CM,""))-(COUNTIFS('Raw data'!K:K,"1",'Raw data'!I:I,"4",'Raw data'!CN:CN,""))-(COUNTIFS('Raw data'!K:K,"1",'Raw data'!I:I,"4",'Raw data'!CO:CO,"")),0)</f>
        <v>0</v>
      </c>
      <c r="J54" s="108">
        <f>COUNTIFS('Raw data'!K:K,"1",'Raw data'!I:I,"5",'Raw data'!CL:CL,"1",'Raw data'!CM:CM,1,'Raw data'!CN:CN,1)</f>
        <v>0</v>
      </c>
      <c r="K54" s="109">
        <f>IFERROR(J54/(J7-COUNTIFS('Raw data'!K:K,"1",'Raw data'!I:I,"5",'Raw data'!CO:CO,"1"))-(COUNTIFS('Raw data'!K:K,"1",'Raw data'!I:I,"5",'Raw data'!CL:CL,""))-(COUNTIFS('Raw data'!K:K,"1",'Raw data'!I:I,"5",'Raw data'!CM:CM,""))-(COUNTIFS('Raw data'!K:K,"1",'Raw data'!I:I,"5",'Raw data'!CN:CN,""))-(COUNTIFS('Raw data'!K:K,"1",'Raw data'!I:I,"5",'Raw data'!CO:CO,"")),0)</f>
        <v>0</v>
      </c>
      <c r="L54" s="108">
        <f>COUNTIFS('Raw data'!K:K,"1",'Raw data'!I:I,"6",'Raw data'!CL:CL,"1",'Raw data'!CM:CM,1,'Raw data'!CN:CN,1)</f>
        <v>0</v>
      </c>
      <c r="M54" s="109">
        <f>IFERROR(L54/(L7-COUNTIFS('Raw data'!K:K,"1",'Raw data'!I:I,"6",'Raw data'!CO:CO,"1"))-(COUNTIFS('Raw data'!K:K,"1",'Raw data'!I:I,"6",'Raw data'!CL:CL,""))-(COUNTIFS('Raw data'!K:K,"1",'Raw data'!I:I,"6",'Raw data'!CM:CM,""))-(COUNTIFS('Raw data'!K:K,"1",'Raw data'!I:I,"6",'Raw data'!CN:CN,""))-(COUNTIFS('Raw data'!K:K,"1",'Raw data'!I:I,"6",'Raw data'!CO:CO,"")),0)</f>
        <v>0</v>
      </c>
      <c r="N54" s="108">
        <f>COUNTIFS('Raw data'!K:K,"1",'Raw data'!I:I,"7",'Raw data'!CL:CL,"1",'Raw data'!CM:CM,1,'Raw data'!CN:CN,1)</f>
        <v>0</v>
      </c>
      <c r="O54" s="109">
        <f>IFERROR(N54/(N7-COUNTIFS('Raw data'!K:K,"1",'Raw data'!I:I,"7",'Raw data'!CO:CO,"1"))-(COUNTIFS('Raw data'!K:K,"1",'Raw data'!I:I,"7",'Raw data'!CL:CL,""))-(COUNTIFS('Raw data'!K:K,"1",'Raw data'!I:I,"7",'Raw data'!CM:CM,""))-(COUNTIFS('Raw data'!K:K,"1",'Raw data'!I:I,"7",'Raw data'!CN:CN,""))-(COUNTIFS('Raw data'!K:K,"1",'Raw data'!I:I,"7",'Raw data'!CO:CO,"")),0)</f>
        <v>0</v>
      </c>
      <c r="P54" s="108">
        <f>COUNTIFS('Raw data'!K:K,"1",'Raw data'!I:I,"8",'Raw data'!CL:CL,"1",'Raw data'!CM:CM,1,'Raw data'!CN:CN,1)</f>
        <v>0</v>
      </c>
      <c r="Q54" s="109">
        <f>IFERROR(P54/(P7-COUNTIFS('Raw data'!K:K,"1",'Raw data'!I:I,"8",'Raw data'!CO:CO,"1"))-(COUNTIFS('Raw data'!K:K,"1",'Raw data'!I:I,"8",'Raw data'!CL:CL,""))-(COUNTIFS('Raw data'!K:K,"1",'Raw data'!I:I,"8",'Raw data'!CM:CM,""))-(COUNTIFS('Raw data'!K:K,"1",'Raw data'!I:I,"8",'Raw data'!CN:CN,""))-(COUNTIFS('Raw data'!K:K,"1",'Raw data'!I:I,"8",'Raw data'!CO:CO,"")),0)</f>
        <v>0</v>
      </c>
      <c r="R54" s="108">
        <f>COUNTIFS('Raw data'!K:K,"1",'Raw data'!I:I,"9",'Raw data'!CL:CL,"1",'Raw data'!CM:CM,1,'Raw data'!CN:CN,1)</f>
        <v>0</v>
      </c>
      <c r="S54" s="109">
        <f>IFERROR(R54/(R7-COUNTIFS('Raw data'!K:K,"1",'Raw data'!I:I,"9",'Raw data'!CO:CO,"1"))-(COUNTIFS('Raw data'!K:K,"1",'Raw data'!I:I,"9",'Raw data'!CL:CL,""))-(COUNTIFS('Raw data'!K:K,"1",'Raw data'!I:I,"9",'Raw data'!CM:CM,""))-(COUNTIFS('Raw data'!K:K,"1",'Raw data'!I:I,"9",'Raw data'!CN:CN,""))-(COUNTIFS('Raw data'!K:K,"1",'Raw data'!I:I,"9",'Raw data'!CO:CO,"")),0)</f>
        <v>0</v>
      </c>
      <c r="T54" s="108">
        <f>COUNTIFS('Raw data'!K:K,"1",'Raw data'!I:I,"10",'Raw data'!CL:CL,"1",'Raw data'!CM:CM,1,'Raw data'!CN:CN,1)</f>
        <v>0</v>
      </c>
      <c r="U54" s="109">
        <f>IFERROR(T54/(T7-COUNTIFS('Raw data'!K:K,"1",'Raw data'!I:I,"10",'Raw data'!CO:CO,"1"))-(COUNTIFS('Raw data'!K:K,"1",'Raw data'!I:I,"10",'Raw data'!CL:CL,""))-(COUNTIFS('Raw data'!K:K,"1",'Raw data'!I:I,"10",'Raw data'!CM:CM,""))-(COUNTIFS('Raw data'!K:K,"1",'Raw data'!I:I,"10",'Raw data'!CN:CN,""))-(COUNTIFS('Raw data'!K:K,"1",'Raw data'!I:I,"10",'Raw data'!CO:CO,"")),0)</f>
        <v>0</v>
      </c>
    </row>
    <row r="55" spans="1:21" ht="16" x14ac:dyDescent="0.2">
      <c r="A55" s="47"/>
      <c r="B55" s="62"/>
      <c r="C55" s="62"/>
      <c r="D55" s="62"/>
      <c r="E55" s="62"/>
      <c r="F55" s="62"/>
      <c r="G55" s="62"/>
      <c r="H55" s="62"/>
      <c r="I55" s="62"/>
      <c r="J55" s="62"/>
      <c r="K55" s="62"/>
      <c r="L55" s="62"/>
      <c r="M55" s="62"/>
      <c r="N55" s="55"/>
      <c r="O55" s="55"/>
      <c r="P55" s="55"/>
      <c r="Q55" s="55"/>
      <c r="R55" s="55"/>
      <c r="S55" s="65"/>
      <c r="T55" s="65"/>
      <c r="U55" s="65"/>
    </row>
    <row r="56" spans="1:21" ht="16" x14ac:dyDescent="0.2">
      <c r="A56" s="47"/>
      <c r="B56" s="62"/>
      <c r="C56" s="62"/>
      <c r="D56" s="62"/>
      <c r="E56" s="62"/>
      <c r="F56" s="62"/>
      <c r="G56" s="62"/>
      <c r="H56" s="62"/>
      <c r="I56" s="62"/>
      <c r="J56" s="62"/>
      <c r="K56" s="62"/>
      <c r="L56" s="62"/>
      <c r="M56" s="62"/>
      <c r="N56" s="55"/>
      <c r="O56" s="55"/>
      <c r="P56" s="55"/>
      <c r="Q56" s="55"/>
      <c r="R56" s="55"/>
      <c r="S56" s="65"/>
      <c r="T56" s="65"/>
      <c r="U56" s="65"/>
    </row>
    <row r="57" spans="1:21" ht="16" x14ac:dyDescent="0.2">
      <c r="A57" s="47"/>
      <c r="B57" s="62"/>
      <c r="C57" s="62"/>
      <c r="D57" s="62"/>
      <c r="E57" s="62"/>
      <c r="F57" s="62"/>
      <c r="G57" s="62"/>
      <c r="H57" s="62"/>
      <c r="I57" s="62"/>
      <c r="J57" s="62"/>
      <c r="K57" s="62"/>
      <c r="L57" s="62"/>
      <c r="M57" s="62"/>
      <c r="N57" s="55"/>
      <c r="O57" s="55"/>
      <c r="P57" s="55"/>
      <c r="Q57" s="55"/>
      <c r="R57" s="55"/>
      <c r="S57" s="65"/>
      <c r="T57" s="65"/>
      <c r="U57" s="65"/>
    </row>
    <row r="58" spans="1:21" ht="16" x14ac:dyDescent="0.2">
      <c r="A58" s="47"/>
      <c r="B58" s="62"/>
      <c r="C58" s="62"/>
      <c r="D58" s="62"/>
      <c r="E58" s="62"/>
      <c r="F58" s="62"/>
      <c r="G58" s="62"/>
      <c r="H58" s="62"/>
      <c r="I58" s="62"/>
      <c r="J58" s="62"/>
      <c r="K58" s="62"/>
      <c r="L58" s="62"/>
      <c r="M58" s="62"/>
      <c r="N58" s="55"/>
      <c r="O58" s="55"/>
      <c r="P58" s="55"/>
      <c r="Q58" s="55"/>
      <c r="R58" s="55"/>
      <c r="S58" s="65"/>
      <c r="T58" s="65"/>
      <c r="U58" s="65"/>
    </row>
    <row r="59" spans="1:21" ht="16" x14ac:dyDescent="0.2">
      <c r="A59" s="47"/>
      <c r="B59" s="62"/>
      <c r="C59" s="62"/>
      <c r="D59" s="62"/>
      <c r="E59" s="62"/>
      <c r="F59" s="62"/>
      <c r="G59" s="62"/>
      <c r="H59" s="62"/>
      <c r="I59" s="62"/>
      <c r="J59" s="62"/>
      <c r="K59" s="62"/>
      <c r="L59" s="62"/>
      <c r="M59" s="62"/>
      <c r="N59" s="55"/>
      <c r="O59" s="55"/>
      <c r="P59" s="55"/>
      <c r="Q59" s="55"/>
      <c r="R59" s="55"/>
      <c r="S59" s="65"/>
      <c r="T59" s="65"/>
      <c r="U59" s="65"/>
    </row>
    <row r="60" spans="1:21" ht="16" x14ac:dyDescent="0.2">
      <c r="A60" s="47"/>
      <c r="B60" s="62"/>
      <c r="C60" s="62"/>
      <c r="D60" s="62"/>
      <c r="E60" s="62"/>
      <c r="F60" s="62"/>
      <c r="G60" s="62"/>
      <c r="H60" s="62"/>
      <c r="I60" s="62"/>
      <c r="J60" s="62"/>
      <c r="K60" s="62"/>
      <c r="L60" s="62"/>
      <c r="M60" s="62"/>
      <c r="N60" s="55"/>
      <c r="O60" s="55"/>
      <c r="P60" s="55"/>
      <c r="Q60" s="55"/>
      <c r="R60" s="55"/>
      <c r="S60" s="65"/>
      <c r="T60" s="65"/>
      <c r="U60" s="65"/>
    </row>
    <row r="61" spans="1:21" ht="16" x14ac:dyDescent="0.2">
      <c r="A61" s="47"/>
      <c r="B61" s="62"/>
      <c r="C61" s="62"/>
      <c r="D61" s="62"/>
      <c r="E61" s="62"/>
      <c r="F61" s="62"/>
      <c r="G61" s="62"/>
      <c r="H61" s="62"/>
      <c r="I61" s="62"/>
      <c r="J61" s="62"/>
      <c r="K61" s="62"/>
      <c r="L61" s="62"/>
      <c r="M61" s="62"/>
      <c r="N61" s="55"/>
      <c r="O61" s="55"/>
      <c r="P61" s="55"/>
      <c r="Q61" s="55"/>
      <c r="R61" s="55"/>
      <c r="S61" s="65"/>
      <c r="T61" s="65"/>
      <c r="U61" s="65"/>
    </row>
    <row r="62" spans="1:21" ht="16" x14ac:dyDescent="0.2">
      <c r="A62" s="47"/>
      <c r="B62" s="62"/>
      <c r="C62" s="62"/>
      <c r="D62" s="62"/>
      <c r="E62" s="62"/>
      <c r="F62" s="62"/>
      <c r="G62" s="62"/>
      <c r="H62" s="62"/>
      <c r="I62" s="62"/>
      <c r="J62" s="62"/>
      <c r="K62" s="62"/>
      <c r="L62" s="62"/>
      <c r="M62" s="62"/>
      <c r="N62" s="55"/>
      <c r="O62" s="55"/>
      <c r="P62" s="55"/>
      <c r="Q62" s="55"/>
      <c r="R62" s="55"/>
      <c r="S62" s="65"/>
      <c r="T62" s="65"/>
      <c r="U62" s="65"/>
    </row>
    <row r="63" spans="1:21" ht="16" x14ac:dyDescent="0.2">
      <c r="A63" s="47"/>
      <c r="B63" s="62"/>
      <c r="C63" s="62"/>
      <c r="D63" s="62"/>
      <c r="E63" s="62"/>
      <c r="F63" s="62"/>
      <c r="G63" s="62"/>
      <c r="H63" s="62"/>
      <c r="I63" s="62"/>
      <c r="J63" s="62"/>
      <c r="K63" s="62"/>
      <c r="L63" s="62"/>
      <c r="M63" s="62"/>
      <c r="N63" s="55"/>
      <c r="O63" s="55"/>
      <c r="P63" s="55"/>
      <c r="Q63" s="55"/>
      <c r="R63" s="55"/>
      <c r="S63" s="65"/>
      <c r="T63" s="65"/>
      <c r="U63" s="65"/>
    </row>
    <row r="64" spans="1:21" ht="16" x14ac:dyDescent="0.2">
      <c r="A64" s="47"/>
      <c r="B64" s="62"/>
      <c r="C64" s="62"/>
      <c r="D64" s="62"/>
      <c r="E64" s="62"/>
      <c r="F64" s="62"/>
      <c r="G64" s="62"/>
      <c r="H64" s="62"/>
      <c r="I64" s="62"/>
      <c r="J64" s="62"/>
      <c r="K64" s="62"/>
      <c r="L64" s="62"/>
      <c r="M64" s="62"/>
      <c r="N64" s="55"/>
      <c r="O64" s="55"/>
      <c r="P64" s="55"/>
      <c r="Q64" s="55"/>
      <c r="R64" s="55"/>
      <c r="S64" s="65"/>
      <c r="T64" s="65"/>
      <c r="U64" s="65"/>
    </row>
    <row r="65" spans="1:21" ht="16" x14ac:dyDescent="0.2">
      <c r="A65" s="47"/>
      <c r="B65" s="62"/>
      <c r="C65" s="62"/>
      <c r="D65" s="62"/>
      <c r="E65" s="62"/>
      <c r="F65" s="62"/>
      <c r="G65" s="62"/>
      <c r="H65" s="62"/>
      <c r="I65" s="62"/>
      <c r="J65" s="62"/>
      <c r="K65" s="62"/>
      <c r="L65" s="62"/>
      <c r="M65" s="62"/>
      <c r="N65" s="55"/>
      <c r="O65" s="55"/>
      <c r="P65" s="55"/>
      <c r="Q65" s="55"/>
      <c r="R65" s="55"/>
      <c r="S65" s="65"/>
      <c r="T65" s="65"/>
      <c r="U65" s="65"/>
    </row>
    <row r="66" spans="1:21" ht="16" x14ac:dyDescent="0.2">
      <c r="A66" s="47"/>
      <c r="B66" s="62"/>
      <c r="C66" s="62"/>
      <c r="D66" s="62"/>
      <c r="E66" s="62"/>
      <c r="F66" s="62"/>
      <c r="G66" s="62"/>
      <c r="H66" s="62"/>
      <c r="I66" s="62"/>
      <c r="J66" s="62"/>
      <c r="K66" s="62"/>
      <c r="L66" s="62"/>
      <c r="M66" s="62"/>
      <c r="N66" s="55"/>
      <c r="O66" s="55"/>
      <c r="P66" s="55"/>
      <c r="Q66" s="55"/>
      <c r="R66" s="55"/>
      <c r="S66" s="65"/>
      <c r="T66" s="65"/>
      <c r="U66" s="65"/>
    </row>
    <row r="67" spans="1:21" ht="16" x14ac:dyDescent="0.2">
      <c r="A67" s="47"/>
      <c r="B67" s="62"/>
      <c r="C67" s="62"/>
      <c r="D67" s="62"/>
      <c r="E67" s="62"/>
      <c r="F67" s="62"/>
      <c r="G67" s="62"/>
      <c r="H67" s="62"/>
      <c r="I67" s="62"/>
      <c r="J67" s="62"/>
      <c r="K67" s="62"/>
      <c r="L67" s="62"/>
      <c r="M67" s="62"/>
      <c r="N67" s="55"/>
      <c r="O67" s="55"/>
      <c r="P67" s="55"/>
      <c r="Q67" s="55"/>
      <c r="R67" s="55"/>
      <c r="S67" s="65"/>
      <c r="T67" s="65"/>
      <c r="U67" s="65"/>
    </row>
    <row r="68" spans="1:21" ht="16" x14ac:dyDescent="0.2">
      <c r="A68" s="47"/>
      <c r="B68" s="62"/>
      <c r="C68" s="62"/>
      <c r="D68" s="62"/>
      <c r="E68" s="62"/>
      <c r="F68" s="62"/>
      <c r="G68" s="62"/>
      <c r="H68" s="62"/>
      <c r="I68" s="62"/>
      <c r="J68" s="62"/>
      <c r="K68" s="62"/>
      <c r="L68" s="62"/>
      <c r="M68" s="62"/>
      <c r="N68" s="55"/>
      <c r="O68" s="55"/>
      <c r="P68" s="55"/>
      <c r="Q68" s="55"/>
      <c r="R68" s="55"/>
      <c r="S68" s="65"/>
      <c r="T68" s="65"/>
      <c r="U68" s="65"/>
    </row>
    <row r="69" spans="1:21" ht="16" x14ac:dyDescent="0.2">
      <c r="A69" s="47"/>
      <c r="B69" s="62"/>
      <c r="C69" s="62"/>
      <c r="D69" s="62"/>
      <c r="E69" s="62"/>
      <c r="F69" s="62"/>
      <c r="G69" s="62"/>
      <c r="H69" s="62"/>
      <c r="I69" s="62"/>
      <c r="J69" s="62"/>
      <c r="K69" s="62"/>
      <c r="L69" s="62"/>
      <c r="M69" s="62"/>
      <c r="N69" s="55"/>
      <c r="O69" s="55"/>
      <c r="P69" s="55"/>
      <c r="Q69" s="55"/>
      <c r="R69" s="55"/>
      <c r="S69" s="65"/>
      <c r="T69" s="65"/>
      <c r="U69" s="65"/>
    </row>
    <row r="70" spans="1:21" ht="16" x14ac:dyDescent="0.2">
      <c r="A70" s="47"/>
      <c r="B70" s="62"/>
      <c r="C70" s="62"/>
      <c r="D70" s="62"/>
      <c r="E70" s="62"/>
      <c r="F70" s="62"/>
      <c r="G70" s="62"/>
      <c r="H70" s="62"/>
      <c r="I70" s="62"/>
      <c r="J70" s="62"/>
      <c r="K70" s="62"/>
      <c r="L70" s="62"/>
      <c r="M70" s="62"/>
      <c r="N70" s="55"/>
      <c r="O70" s="55"/>
      <c r="P70" s="55"/>
      <c r="Q70" s="55"/>
      <c r="R70" s="55"/>
      <c r="S70" s="65"/>
      <c r="T70" s="65"/>
      <c r="U70" s="65"/>
    </row>
    <row r="71" spans="1:21" ht="16" x14ac:dyDescent="0.2">
      <c r="A71" s="47"/>
      <c r="B71" s="62"/>
      <c r="C71" s="62"/>
      <c r="D71" s="62"/>
      <c r="E71" s="62"/>
      <c r="F71" s="62"/>
      <c r="G71" s="62"/>
      <c r="H71" s="62"/>
      <c r="I71" s="62"/>
      <c r="J71" s="62"/>
      <c r="K71" s="62"/>
      <c r="L71" s="62"/>
      <c r="M71" s="62"/>
      <c r="N71" s="55"/>
      <c r="O71" s="55"/>
      <c r="P71" s="55"/>
      <c r="Q71" s="55"/>
      <c r="R71" s="55"/>
      <c r="S71" s="65"/>
      <c r="T71" s="65"/>
      <c r="U71" s="65"/>
    </row>
    <row r="72" spans="1:21" ht="16" x14ac:dyDescent="0.2">
      <c r="A72" s="47"/>
      <c r="B72" s="62"/>
      <c r="C72" s="62"/>
      <c r="D72" s="62"/>
      <c r="E72" s="62"/>
      <c r="F72" s="62"/>
      <c r="G72" s="62"/>
      <c r="H72" s="62"/>
      <c r="I72" s="62"/>
      <c r="J72" s="62"/>
      <c r="K72" s="62"/>
      <c r="L72" s="62"/>
      <c r="M72" s="62"/>
      <c r="N72" s="55"/>
      <c r="O72" s="55"/>
      <c r="P72" s="55"/>
      <c r="Q72" s="55"/>
      <c r="R72" s="55"/>
      <c r="S72" s="65"/>
      <c r="T72" s="65"/>
      <c r="U72" s="65"/>
    </row>
    <row r="73" spans="1:21" ht="16" x14ac:dyDescent="0.2">
      <c r="A73" s="47"/>
      <c r="B73" s="62"/>
      <c r="C73" s="62"/>
      <c r="D73" s="62"/>
      <c r="E73" s="62"/>
      <c r="F73" s="62"/>
      <c r="G73" s="62"/>
      <c r="H73" s="62"/>
      <c r="I73" s="62"/>
      <c r="J73" s="62"/>
      <c r="K73" s="62"/>
      <c r="L73" s="62"/>
      <c r="M73" s="62"/>
      <c r="N73" s="55"/>
      <c r="O73" s="55"/>
      <c r="P73" s="55"/>
      <c r="Q73" s="55"/>
      <c r="R73" s="55"/>
      <c r="S73" s="65"/>
      <c r="T73" s="65"/>
      <c r="U73" s="65"/>
    </row>
    <row r="74" spans="1:21" ht="16" x14ac:dyDescent="0.2">
      <c r="A74" s="47"/>
      <c r="B74" s="62"/>
      <c r="C74" s="62"/>
      <c r="D74" s="62"/>
      <c r="E74" s="62"/>
      <c r="F74" s="62"/>
      <c r="G74" s="62"/>
      <c r="H74" s="62"/>
      <c r="I74" s="62"/>
      <c r="J74" s="62"/>
      <c r="K74" s="62"/>
      <c r="L74" s="62"/>
      <c r="M74" s="62"/>
      <c r="N74" s="55"/>
      <c r="O74" s="55"/>
      <c r="P74" s="55"/>
      <c r="Q74" s="55"/>
      <c r="R74" s="55"/>
      <c r="S74" s="65"/>
      <c r="T74" s="65"/>
      <c r="U74" s="65"/>
    </row>
    <row r="75" spans="1:21" ht="16" x14ac:dyDescent="0.2">
      <c r="A75" s="47"/>
      <c r="B75" s="62"/>
      <c r="C75" s="62"/>
      <c r="D75" s="62"/>
      <c r="E75" s="62"/>
      <c r="F75" s="62"/>
      <c r="G75" s="62"/>
      <c r="H75" s="62"/>
      <c r="I75" s="62"/>
      <c r="J75" s="62"/>
      <c r="K75" s="62"/>
      <c r="L75" s="62"/>
      <c r="M75" s="62"/>
      <c r="N75" s="55"/>
      <c r="O75" s="55"/>
      <c r="P75" s="55"/>
      <c r="Q75" s="55"/>
      <c r="R75" s="55"/>
      <c r="S75" s="65"/>
      <c r="T75" s="65"/>
      <c r="U75" s="65"/>
    </row>
    <row r="76" spans="1:21" ht="16" x14ac:dyDescent="0.2">
      <c r="A76" s="47"/>
      <c r="B76" s="62"/>
      <c r="C76" s="62"/>
      <c r="D76" s="62"/>
      <c r="E76" s="62"/>
      <c r="F76" s="62"/>
      <c r="G76" s="62"/>
      <c r="H76" s="62"/>
      <c r="I76" s="62"/>
      <c r="J76" s="62"/>
      <c r="K76" s="62"/>
      <c r="L76" s="62"/>
      <c r="M76" s="62"/>
      <c r="N76" s="55"/>
      <c r="O76" s="55"/>
      <c r="P76" s="55"/>
      <c r="Q76" s="55"/>
      <c r="R76" s="55"/>
      <c r="S76" s="65"/>
      <c r="T76" s="65"/>
      <c r="U76" s="65"/>
    </row>
    <row r="77" spans="1:21" ht="16" x14ac:dyDescent="0.2">
      <c r="A77" s="47"/>
      <c r="B77" s="62"/>
      <c r="C77" s="62"/>
      <c r="D77" s="62"/>
      <c r="E77" s="62"/>
      <c r="F77" s="62"/>
      <c r="G77" s="62"/>
      <c r="H77" s="62"/>
      <c r="I77" s="62"/>
      <c r="J77" s="62"/>
      <c r="K77" s="62"/>
      <c r="L77" s="62"/>
      <c r="M77" s="62"/>
      <c r="N77" s="55"/>
      <c r="O77" s="55"/>
      <c r="P77" s="55"/>
      <c r="Q77" s="55"/>
      <c r="R77" s="55"/>
      <c r="S77" s="65"/>
      <c r="T77" s="65"/>
      <c r="U77" s="65"/>
    </row>
    <row r="78" spans="1:21" ht="16" x14ac:dyDescent="0.2">
      <c r="A78" s="47"/>
      <c r="B78" s="62"/>
      <c r="C78" s="62"/>
      <c r="D78" s="62"/>
      <c r="E78" s="62"/>
      <c r="F78" s="62"/>
      <c r="G78" s="62"/>
      <c r="H78" s="62"/>
      <c r="I78" s="62"/>
      <c r="J78" s="62"/>
      <c r="K78" s="62"/>
      <c r="L78" s="62"/>
      <c r="M78" s="62"/>
      <c r="N78" s="55"/>
      <c r="O78" s="55"/>
      <c r="P78" s="55"/>
      <c r="Q78" s="55"/>
      <c r="R78" s="55"/>
      <c r="S78" s="65"/>
      <c r="T78" s="65"/>
      <c r="U78" s="65"/>
    </row>
    <row r="79" spans="1:21" ht="16" x14ac:dyDescent="0.2">
      <c r="A79" s="47"/>
      <c r="B79" s="62"/>
      <c r="C79" s="62"/>
      <c r="D79" s="62"/>
      <c r="E79" s="62"/>
      <c r="F79" s="62"/>
      <c r="G79" s="62"/>
      <c r="H79" s="62"/>
      <c r="I79" s="62"/>
      <c r="J79" s="62"/>
      <c r="K79" s="62"/>
      <c r="L79" s="62"/>
      <c r="M79" s="62"/>
      <c r="N79" s="55"/>
      <c r="O79" s="55"/>
      <c r="P79" s="55"/>
      <c r="Q79" s="55"/>
      <c r="R79" s="55"/>
      <c r="S79" s="65"/>
      <c r="T79" s="65"/>
      <c r="U79" s="65"/>
    </row>
    <row r="80" spans="1:21" ht="16" x14ac:dyDescent="0.2">
      <c r="A80" s="47"/>
      <c r="B80" s="62"/>
      <c r="C80" s="62"/>
      <c r="D80" s="62"/>
      <c r="E80" s="62"/>
      <c r="F80" s="62"/>
      <c r="G80" s="62"/>
      <c r="H80" s="62"/>
      <c r="I80" s="62"/>
      <c r="J80" s="62"/>
      <c r="K80" s="62"/>
      <c r="L80" s="62"/>
      <c r="M80" s="62"/>
      <c r="N80" s="55"/>
      <c r="O80" s="55"/>
      <c r="P80" s="55"/>
      <c r="Q80" s="55"/>
      <c r="R80" s="55"/>
      <c r="S80" s="65"/>
      <c r="T80" s="65"/>
      <c r="U80" s="65"/>
    </row>
    <row r="81" spans="1:21" ht="16" x14ac:dyDescent="0.2">
      <c r="A81" s="47"/>
      <c r="B81" s="62"/>
      <c r="C81" s="62"/>
      <c r="D81" s="62"/>
      <c r="E81" s="62"/>
      <c r="F81" s="62"/>
      <c r="G81" s="62"/>
      <c r="H81" s="62"/>
      <c r="I81" s="62"/>
      <c r="J81" s="62"/>
      <c r="K81" s="62"/>
      <c r="L81" s="62"/>
      <c r="M81" s="62"/>
      <c r="N81" s="55"/>
      <c r="O81" s="55"/>
      <c r="P81" s="55"/>
      <c r="Q81" s="55"/>
      <c r="R81" s="55"/>
      <c r="S81" s="65"/>
      <c r="T81" s="65"/>
      <c r="U81" s="65"/>
    </row>
    <row r="82" spans="1:21" ht="16" x14ac:dyDescent="0.2">
      <c r="A82" s="47"/>
      <c r="B82" s="62"/>
      <c r="C82" s="62"/>
      <c r="D82" s="62"/>
      <c r="E82" s="62"/>
      <c r="F82" s="62"/>
      <c r="G82" s="62"/>
      <c r="H82" s="62"/>
      <c r="I82" s="62"/>
      <c r="J82" s="62"/>
      <c r="K82" s="62"/>
      <c r="L82" s="62"/>
      <c r="M82" s="62"/>
      <c r="N82" s="55"/>
      <c r="O82" s="55"/>
      <c r="P82" s="55"/>
      <c r="Q82" s="55"/>
      <c r="R82" s="55"/>
      <c r="S82" s="65"/>
      <c r="T82" s="65"/>
      <c r="U82" s="65"/>
    </row>
    <row r="83" spans="1:21" ht="16" x14ac:dyDescent="0.2">
      <c r="A83" s="47"/>
      <c r="B83" s="62"/>
      <c r="C83" s="62"/>
      <c r="D83" s="62"/>
      <c r="E83" s="62"/>
      <c r="F83" s="62"/>
      <c r="G83" s="62"/>
      <c r="H83" s="62"/>
      <c r="I83" s="62"/>
      <c r="J83" s="62"/>
      <c r="K83" s="62"/>
      <c r="L83" s="62"/>
      <c r="M83" s="62"/>
      <c r="N83" s="55"/>
      <c r="O83" s="55"/>
      <c r="P83" s="55"/>
      <c r="Q83" s="55"/>
      <c r="R83" s="55"/>
      <c r="S83" s="65"/>
      <c r="T83" s="65"/>
      <c r="U83" s="65"/>
    </row>
    <row r="84" spans="1:21" ht="16" x14ac:dyDescent="0.2">
      <c r="A84" s="47"/>
      <c r="B84" s="62"/>
      <c r="C84" s="62"/>
      <c r="D84" s="62"/>
      <c r="E84" s="62"/>
      <c r="F84" s="62"/>
      <c r="G84" s="62"/>
      <c r="H84" s="62"/>
      <c r="I84" s="62"/>
      <c r="J84" s="62"/>
      <c r="K84" s="62"/>
      <c r="L84" s="62"/>
      <c r="M84" s="62"/>
      <c r="N84" s="55"/>
      <c r="O84" s="55"/>
      <c r="P84" s="55"/>
      <c r="Q84" s="55"/>
      <c r="R84" s="55"/>
      <c r="S84" s="65"/>
      <c r="T84" s="65"/>
      <c r="U84" s="65"/>
    </row>
    <row r="85" spans="1:21" ht="16" x14ac:dyDescent="0.2">
      <c r="A85" s="47"/>
      <c r="B85" s="62"/>
      <c r="C85" s="62"/>
      <c r="D85" s="62"/>
      <c r="E85" s="62"/>
      <c r="F85" s="62"/>
      <c r="G85" s="62"/>
      <c r="H85" s="62"/>
      <c r="I85" s="62"/>
      <c r="J85" s="62"/>
      <c r="K85" s="62"/>
      <c r="L85" s="62"/>
      <c r="M85" s="62"/>
      <c r="N85" s="55"/>
      <c r="O85" s="55"/>
      <c r="P85" s="55"/>
      <c r="Q85" s="55"/>
      <c r="R85" s="55"/>
      <c r="S85" s="65"/>
      <c r="T85" s="65"/>
      <c r="U85" s="65"/>
    </row>
    <row r="86" spans="1:21" ht="16" x14ac:dyDescent="0.2">
      <c r="A86" s="47"/>
      <c r="B86" s="62"/>
      <c r="C86" s="62"/>
      <c r="D86" s="62"/>
      <c r="E86" s="62"/>
      <c r="F86" s="62"/>
      <c r="G86" s="62"/>
      <c r="H86" s="62"/>
      <c r="I86" s="62"/>
      <c r="J86" s="62"/>
      <c r="K86" s="62"/>
      <c r="L86" s="62"/>
      <c r="M86" s="62"/>
      <c r="N86" s="55"/>
      <c r="O86" s="55"/>
      <c r="P86" s="55"/>
      <c r="Q86" s="55"/>
      <c r="R86" s="55"/>
      <c r="S86" s="65"/>
      <c r="T86" s="65"/>
      <c r="U86" s="65"/>
    </row>
    <row r="87" spans="1:21" ht="16" x14ac:dyDescent="0.2">
      <c r="A87" s="47"/>
      <c r="B87" s="62"/>
      <c r="C87" s="62"/>
      <c r="D87" s="62"/>
      <c r="E87" s="62"/>
      <c r="F87" s="62"/>
      <c r="G87" s="62"/>
      <c r="H87" s="62"/>
      <c r="I87" s="62"/>
      <c r="J87" s="62"/>
      <c r="K87" s="62"/>
      <c r="L87" s="62"/>
      <c r="M87" s="62"/>
      <c r="N87" s="55"/>
      <c r="O87" s="55"/>
      <c r="P87" s="55"/>
      <c r="Q87" s="55"/>
      <c r="R87" s="55"/>
      <c r="S87" s="65"/>
      <c r="T87" s="65"/>
      <c r="U87" s="65"/>
    </row>
    <row r="88" spans="1:21" ht="16" x14ac:dyDescent="0.2">
      <c r="A88" s="47"/>
      <c r="B88" s="62"/>
      <c r="C88" s="62"/>
      <c r="D88" s="62"/>
      <c r="E88" s="62"/>
      <c r="F88" s="62"/>
      <c r="G88" s="62"/>
      <c r="H88" s="62"/>
      <c r="I88" s="62"/>
      <c r="J88" s="62"/>
      <c r="K88" s="62"/>
      <c r="L88" s="62"/>
      <c r="M88" s="62"/>
      <c r="N88" s="55"/>
      <c r="O88" s="55"/>
      <c r="P88" s="55"/>
      <c r="Q88" s="55"/>
      <c r="R88" s="55"/>
      <c r="S88" s="65"/>
      <c r="T88" s="65"/>
      <c r="U88" s="65"/>
    </row>
    <row r="89" spans="1:21" ht="16" x14ac:dyDescent="0.2">
      <c r="A89" s="47"/>
      <c r="B89" s="62"/>
      <c r="C89" s="62"/>
      <c r="D89" s="62"/>
      <c r="E89" s="62"/>
      <c r="F89" s="62"/>
      <c r="G89" s="62"/>
      <c r="H89" s="62"/>
      <c r="I89" s="62"/>
      <c r="J89" s="62"/>
      <c r="K89" s="62"/>
      <c r="L89" s="62"/>
      <c r="M89" s="62"/>
      <c r="N89" s="55"/>
      <c r="O89" s="55"/>
      <c r="P89" s="55"/>
      <c r="Q89" s="55"/>
      <c r="R89" s="55"/>
      <c r="S89" s="65"/>
      <c r="T89" s="65"/>
      <c r="U89" s="65"/>
    </row>
    <row r="90" spans="1:21" ht="16" x14ac:dyDescent="0.2">
      <c r="A90" s="47"/>
      <c r="B90" s="62"/>
      <c r="C90" s="62"/>
      <c r="D90" s="62"/>
      <c r="E90" s="62"/>
      <c r="F90" s="62"/>
      <c r="G90" s="62"/>
      <c r="H90" s="62"/>
      <c r="I90" s="62"/>
      <c r="J90" s="62"/>
      <c r="K90" s="62"/>
      <c r="L90" s="62"/>
      <c r="M90" s="62"/>
      <c r="N90" s="55"/>
      <c r="O90" s="55"/>
      <c r="P90" s="55"/>
      <c r="Q90" s="55"/>
      <c r="R90" s="55"/>
      <c r="S90" s="65"/>
      <c r="T90" s="65"/>
      <c r="U90" s="65"/>
    </row>
    <row r="91" spans="1:21" ht="16" x14ac:dyDescent="0.2">
      <c r="A91" s="47"/>
      <c r="B91" s="62"/>
      <c r="C91" s="62"/>
      <c r="D91" s="62"/>
      <c r="E91" s="62"/>
      <c r="F91" s="62"/>
      <c r="G91" s="62"/>
      <c r="H91" s="62"/>
      <c r="I91" s="62"/>
      <c r="J91" s="62"/>
      <c r="K91" s="62"/>
      <c r="L91" s="62"/>
      <c r="M91" s="62"/>
      <c r="N91" s="55"/>
      <c r="O91" s="55"/>
      <c r="P91" s="55"/>
      <c r="Q91" s="55"/>
      <c r="R91" s="55"/>
      <c r="S91" s="65"/>
      <c r="T91" s="65"/>
      <c r="U91" s="65"/>
    </row>
    <row r="92" spans="1:21" ht="16" x14ac:dyDescent="0.2">
      <c r="A92" s="47"/>
      <c r="B92" s="62"/>
      <c r="C92" s="62"/>
      <c r="D92" s="62"/>
      <c r="E92" s="62"/>
      <c r="F92" s="62"/>
      <c r="G92" s="62"/>
      <c r="H92" s="62"/>
      <c r="I92" s="62"/>
      <c r="J92" s="62"/>
      <c r="K92" s="62"/>
      <c r="L92" s="62"/>
      <c r="M92" s="62"/>
      <c r="N92" s="55"/>
      <c r="O92" s="55"/>
      <c r="P92" s="55"/>
      <c r="Q92" s="55"/>
      <c r="R92" s="55"/>
      <c r="S92" s="65"/>
      <c r="T92" s="65"/>
      <c r="U92" s="65"/>
    </row>
    <row r="93" spans="1:21" ht="16" x14ac:dyDescent="0.2">
      <c r="A93" s="47"/>
      <c r="B93" s="62"/>
      <c r="C93" s="62"/>
      <c r="D93" s="62"/>
      <c r="E93" s="62"/>
      <c r="F93" s="62"/>
      <c r="G93" s="62"/>
      <c r="H93" s="62"/>
      <c r="I93" s="62"/>
      <c r="J93" s="62"/>
      <c r="K93" s="62"/>
      <c r="L93" s="62"/>
      <c r="M93" s="62"/>
      <c r="N93" s="55"/>
      <c r="O93" s="55"/>
      <c r="P93" s="55"/>
      <c r="Q93" s="55"/>
      <c r="R93" s="55"/>
      <c r="S93" s="65"/>
      <c r="T93" s="65"/>
      <c r="U93" s="65"/>
    </row>
    <row r="94" spans="1:21" ht="16" x14ac:dyDescent="0.2">
      <c r="A94" s="47"/>
      <c r="B94" s="62"/>
      <c r="C94" s="62"/>
      <c r="D94" s="62"/>
      <c r="E94" s="62"/>
      <c r="F94" s="62"/>
      <c r="G94" s="62"/>
      <c r="H94" s="62"/>
      <c r="I94" s="62"/>
      <c r="J94" s="62"/>
      <c r="K94" s="62"/>
      <c r="L94" s="62"/>
      <c r="M94" s="62"/>
      <c r="N94" s="55"/>
      <c r="O94" s="55"/>
      <c r="P94" s="55"/>
      <c r="Q94" s="55"/>
      <c r="R94" s="55"/>
      <c r="S94" s="65"/>
      <c r="T94" s="65"/>
      <c r="U94" s="65"/>
    </row>
    <row r="95" spans="1:21" ht="16" x14ac:dyDescent="0.2">
      <c r="A95" s="47"/>
      <c r="B95" s="62"/>
      <c r="C95" s="62"/>
      <c r="D95" s="62"/>
      <c r="E95" s="62"/>
      <c r="F95" s="62"/>
      <c r="G95" s="62"/>
      <c r="H95" s="62"/>
      <c r="I95" s="62"/>
      <c r="J95" s="62"/>
      <c r="K95" s="62"/>
      <c r="L95" s="62"/>
      <c r="M95" s="62"/>
      <c r="N95" s="55"/>
      <c r="O95" s="55"/>
      <c r="P95" s="55"/>
      <c r="Q95" s="55"/>
      <c r="R95" s="55"/>
      <c r="S95" s="65"/>
      <c r="T95" s="65"/>
      <c r="U95" s="65"/>
    </row>
    <row r="96" spans="1:21" ht="16" x14ac:dyDescent="0.2">
      <c r="S96" s="4"/>
      <c r="T96" s="4"/>
      <c r="U96" s="4"/>
    </row>
    <row r="97" spans="1:21" ht="16" x14ac:dyDescent="0.2">
      <c r="A97" s="20"/>
      <c r="S97" s="4"/>
      <c r="T97" s="4"/>
      <c r="U97" s="4"/>
    </row>
    <row r="98" spans="1:21" ht="16" x14ac:dyDescent="0.2">
      <c r="A98" s="20"/>
      <c r="D98" s="18"/>
      <c r="E98" s="18"/>
      <c r="F98" s="18"/>
      <c r="G98" s="18"/>
      <c r="H98" s="18"/>
      <c r="I98" s="18"/>
      <c r="J98" s="18"/>
      <c r="K98" s="18"/>
      <c r="L98" s="18"/>
      <c r="M98" s="18"/>
      <c r="N98" s="4"/>
      <c r="O98" s="4"/>
      <c r="P98" s="4"/>
      <c r="Q98" s="4"/>
      <c r="R98" s="4"/>
      <c r="S98" s="4"/>
      <c r="T98" s="4"/>
      <c r="U98" s="4"/>
    </row>
    <row r="99" spans="1:21" ht="16" x14ac:dyDescent="0.2">
      <c r="B99" s="18"/>
      <c r="C99" s="18"/>
      <c r="D99" s="18"/>
      <c r="E99" s="18"/>
      <c r="F99" s="18"/>
      <c r="G99" s="18"/>
      <c r="H99" s="18"/>
      <c r="I99" s="18"/>
      <c r="J99" s="18"/>
      <c r="K99" s="18"/>
      <c r="L99" s="18"/>
      <c r="M99" s="18"/>
      <c r="N99" s="4"/>
      <c r="O99" s="4"/>
      <c r="P99" s="4"/>
      <c r="Q99" s="4"/>
      <c r="R99" s="4"/>
      <c r="S99" s="4"/>
      <c r="T99" s="4"/>
      <c r="U99" s="4"/>
    </row>
    <row r="100" spans="1:21" ht="16" x14ac:dyDescent="0.2">
      <c r="B100" s="18"/>
      <c r="C100" s="18"/>
    </row>
  </sheetData>
  <sheetProtection algorithmName="SHA-512" hashValue="TsNU+POtYJrbxlcmvT7f5tPdVNPq3HfdqclGho0vfsb9vyEumzZp0iYLsJ7w1qdUvF6WvDdePmdw5UwpTo/mnA==" saltValue="fxuK+QsehNlNrDF0yw33XQ==" spinCount="100000" sheet="1" objects="1" scenarios="1"/>
  <mergeCells count="20">
    <mergeCell ref="L7:M7"/>
    <mergeCell ref="B6:C6"/>
    <mergeCell ref="D6:E6"/>
    <mergeCell ref="F6:G6"/>
    <mergeCell ref="H6:I6"/>
    <mergeCell ref="J6:K6"/>
    <mergeCell ref="L6:M6"/>
    <mergeCell ref="B7:C7"/>
    <mergeCell ref="D7:E7"/>
    <mergeCell ref="F7:G7"/>
    <mergeCell ref="H7:I7"/>
    <mergeCell ref="J7:K7"/>
    <mergeCell ref="N7:O7"/>
    <mergeCell ref="P7:Q7"/>
    <mergeCell ref="R7:S7"/>
    <mergeCell ref="T7:U7"/>
    <mergeCell ref="N6:O6"/>
    <mergeCell ref="P6:Q6"/>
    <mergeCell ref="R6:S6"/>
    <mergeCell ref="T6:U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B5149-FA8B-4B68-95FC-0807BDEADE0C}">
  <sheetPr codeName="Sheet7"/>
  <dimension ref="A1:C23"/>
  <sheetViews>
    <sheetView workbookViewId="0">
      <selection activeCell="O14" sqref="O14"/>
    </sheetView>
  </sheetViews>
  <sheetFormatPr baseColWidth="10" defaultColWidth="8.83203125" defaultRowHeight="15" x14ac:dyDescent="0.2"/>
  <cols>
    <col min="1" max="1" width="21.1640625" bestFit="1" customWidth="1"/>
    <col min="2" max="2" width="9.5" style="3" customWidth="1"/>
    <col min="3" max="3" width="8.83203125" style="3"/>
  </cols>
  <sheetData>
    <row r="1" spans="1:3" x14ac:dyDescent="0.2">
      <c r="A1" s="9" t="s">
        <v>322</v>
      </c>
      <c r="B1" s="62"/>
      <c r="C1" s="62"/>
    </row>
    <row r="2" spans="1:3" x14ac:dyDescent="0.2">
      <c r="B2" s="62"/>
      <c r="C2" s="62"/>
    </row>
    <row r="3" spans="1:3" ht="16" x14ac:dyDescent="0.2">
      <c r="A3" s="8" t="s">
        <v>323</v>
      </c>
      <c r="B3" s="295">
        <f>'Counts for summary'!B1</f>
        <v>0</v>
      </c>
      <c r="C3" s="62"/>
    </row>
    <row r="4" spans="1:3" ht="16" thickBot="1" x14ac:dyDescent="0.25">
      <c r="B4" s="62"/>
      <c r="C4" s="62"/>
    </row>
    <row r="5" spans="1:3" x14ac:dyDescent="0.2">
      <c r="A5" s="9" t="s">
        <v>324</v>
      </c>
      <c r="B5" s="66" t="s">
        <v>325</v>
      </c>
      <c r="C5" s="68" t="s">
        <v>326</v>
      </c>
    </row>
    <row r="6" spans="1:3" x14ac:dyDescent="0.2">
      <c r="A6" s="294" t="s">
        <v>107</v>
      </c>
      <c r="B6" s="296">
        <f>'Counts for summary'!G3</f>
        <v>0</v>
      </c>
      <c r="C6" s="297" t="e">
        <f>B6/B3</f>
        <v>#DIV/0!</v>
      </c>
    </row>
    <row r="7" spans="1:3" x14ac:dyDescent="0.2">
      <c r="A7" s="294" t="s">
        <v>110</v>
      </c>
      <c r="B7" s="296">
        <f>'Counts for summary'!G4</f>
        <v>0</v>
      </c>
      <c r="C7" s="297" t="e">
        <f>B7/B3</f>
        <v>#DIV/0!</v>
      </c>
    </row>
    <row r="8" spans="1:3" ht="16" thickBot="1" x14ac:dyDescent="0.25">
      <c r="A8" s="294" t="s">
        <v>113</v>
      </c>
      <c r="B8" s="298">
        <f>'Counts for summary'!G5</f>
        <v>0</v>
      </c>
      <c r="C8" s="299" t="e">
        <f>B8/B3</f>
        <v>#DIV/0!</v>
      </c>
    </row>
    <row r="9" spans="1:3" x14ac:dyDescent="0.2">
      <c r="A9" s="55"/>
      <c r="B9" s="62"/>
      <c r="C9" s="62"/>
    </row>
    <row r="10" spans="1:3" x14ac:dyDescent="0.2">
      <c r="B10" s="62"/>
      <c r="C10" s="62"/>
    </row>
    <row r="11" spans="1:3" ht="32" x14ac:dyDescent="0.2">
      <c r="A11" s="38" t="s">
        <v>315</v>
      </c>
      <c r="B11" s="300">
        <f>'Counts for summary'!B2</f>
        <v>0</v>
      </c>
      <c r="C11" s="62"/>
    </row>
    <row r="12" spans="1:3" ht="16" thickBot="1" x14ac:dyDescent="0.25">
      <c r="B12" s="62"/>
      <c r="C12" s="62"/>
    </row>
    <row r="13" spans="1:3" x14ac:dyDescent="0.2">
      <c r="A13" s="9" t="s">
        <v>324</v>
      </c>
      <c r="B13" s="66" t="s">
        <v>325</v>
      </c>
      <c r="C13" s="68" t="s">
        <v>326</v>
      </c>
    </row>
    <row r="14" spans="1:3" x14ac:dyDescent="0.2">
      <c r="A14" s="294" t="s">
        <v>107</v>
      </c>
      <c r="B14" s="296">
        <f>'Counts for summary'!J3</f>
        <v>0</v>
      </c>
      <c r="C14" s="297" t="e">
        <f>B14/B11</f>
        <v>#DIV/0!</v>
      </c>
    </row>
    <row r="15" spans="1:3" x14ac:dyDescent="0.2">
      <c r="A15" s="294" t="s">
        <v>110</v>
      </c>
      <c r="B15" s="296">
        <f>'Counts for summary'!J4</f>
        <v>0</v>
      </c>
      <c r="C15" s="297" t="e">
        <f>B15/B11</f>
        <v>#DIV/0!</v>
      </c>
    </row>
    <row r="16" spans="1:3" ht="16" thickBot="1" x14ac:dyDescent="0.25">
      <c r="A16" s="294" t="s">
        <v>113</v>
      </c>
      <c r="B16" s="298">
        <f>'Counts for summary'!J5</f>
        <v>0</v>
      </c>
      <c r="C16" s="299" t="e">
        <f>B16/B11</f>
        <v>#DIV/0!</v>
      </c>
    </row>
    <row r="17" spans="1:3" x14ac:dyDescent="0.2">
      <c r="B17" s="62"/>
      <c r="C17" s="62"/>
    </row>
    <row r="18" spans="1:3" ht="32" x14ac:dyDescent="0.2">
      <c r="A18" s="38" t="s">
        <v>327</v>
      </c>
      <c r="B18" s="300">
        <f>'Counts for summary'!D2</f>
        <v>0</v>
      </c>
      <c r="C18" s="62"/>
    </row>
    <row r="19" spans="1:3" ht="16" thickBot="1" x14ac:dyDescent="0.25">
      <c r="B19" s="62"/>
      <c r="C19" s="62"/>
    </row>
    <row r="20" spans="1:3" x14ac:dyDescent="0.2">
      <c r="A20" s="9" t="s">
        <v>324</v>
      </c>
      <c r="B20" s="66" t="s">
        <v>325</v>
      </c>
      <c r="C20" s="68" t="s">
        <v>326</v>
      </c>
    </row>
    <row r="21" spans="1:3" x14ac:dyDescent="0.2">
      <c r="A21" s="294" t="s">
        <v>107</v>
      </c>
      <c r="B21" s="296">
        <f>'Counts for summary'!M3</f>
        <v>0</v>
      </c>
      <c r="C21" s="297" t="e">
        <f>B21/B18</f>
        <v>#DIV/0!</v>
      </c>
    </row>
    <row r="22" spans="1:3" x14ac:dyDescent="0.2">
      <c r="A22" s="294" t="s">
        <v>110</v>
      </c>
      <c r="B22" s="296">
        <f>'Counts for summary'!M4</f>
        <v>0</v>
      </c>
      <c r="C22" s="297" t="e">
        <f>B22/B18</f>
        <v>#DIV/0!</v>
      </c>
    </row>
    <row r="23" spans="1:3" ht="16" thickBot="1" x14ac:dyDescent="0.25">
      <c r="A23" s="294" t="s">
        <v>113</v>
      </c>
      <c r="B23" s="298">
        <f>'Counts for summary'!M5</f>
        <v>0</v>
      </c>
      <c r="C23" s="299" t="e">
        <f>B23/B18</f>
        <v>#DIV/0!</v>
      </c>
    </row>
  </sheetData>
  <sheetProtection algorithmName="SHA-512" hashValue="r4fMZpVAP1gK6A0q184pFdYhQkm+NFwUMsJywDttsdtuwGNUw99OsGlIA1kjoRkTCs011ifGb/I7/QhOsqbJww==" saltValue="CDs82I+zI36pBlj2wlAI6Q=="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BD0A-AB6E-4ADF-A0E8-5D66006370DD}">
  <sheetPr codeName="Sheet8"/>
  <dimension ref="A1:C57"/>
  <sheetViews>
    <sheetView workbookViewId="0">
      <selection activeCell="R20" sqref="R20"/>
    </sheetView>
  </sheetViews>
  <sheetFormatPr baseColWidth="10" defaultColWidth="8.83203125" defaultRowHeight="15" x14ac:dyDescent="0.2"/>
  <cols>
    <col min="1" max="1" width="30.1640625" bestFit="1" customWidth="1"/>
  </cols>
  <sheetData>
    <row r="1" spans="1:3" x14ac:dyDescent="0.2">
      <c r="A1" s="9" t="s">
        <v>328</v>
      </c>
    </row>
    <row r="2" spans="1:3" x14ac:dyDescent="0.2">
      <c r="A2" s="188"/>
    </row>
    <row r="3" spans="1:3" ht="16" thickBot="1" x14ac:dyDescent="0.25">
      <c r="A3" s="188" t="s">
        <v>329</v>
      </c>
    </row>
    <row r="4" spans="1:3" ht="16" thickBot="1" x14ac:dyDescent="0.25">
      <c r="A4" s="9" t="s">
        <v>330</v>
      </c>
      <c r="B4" s="24" t="s">
        <v>325</v>
      </c>
      <c r="C4" s="24" t="s">
        <v>326</v>
      </c>
    </row>
    <row r="5" spans="1:3" ht="17" thickBot="1" x14ac:dyDescent="0.25">
      <c r="A5" s="301" t="str">
        <f>'Counts for summary'!B12</f>
        <v>Chronic Care/Rehabilitation</v>
      </c>
      <c r="B5" s="302">
        <f>'Counts for summary'!C12</f>
        <v>0</v>
      </c>
      <c r="C5" s="303" t="e">
        <f>B5/(SUM(B5:B14))</f>
        <v>#DIV/0!</v>
      </c>
    </row>
    <row r="6" spans="1:3" ht="17" thickBot="1" x14ac:dyDescent="0.25">
      <c r="A6" s="301" t="str">
        <f>'Counts for summary'!B13</f>
        <v>Emergency</v>
      </c>
      <c r="B6" s="302">
        <f>'Counts for summary'!C13</f>
        <v>0</v>
      </c>
      <c r="C6" s="303" t="e">
        <f>B6/(SUM(B5:B14))</f>
        <v>#DIV/0!</v>
      </c>
    </row>
    <row r="7" spans="1:3" ht="17" thickBot="1" x14ac:dyDescent="0.25">
      <c r="A7" s="301" t="str">
        <f>'Counts for summary'!B14</f>
        <v>Intensive/Cardiac Care Unit</v>
      </c>
      <c r="B7" s="302">
        <f>'Counts for summary'!C14</f>
        <v>0</v>
      </c>
      <c r="C7" s="303" t="e">
        <f>B7/(SUM(B5:B14))</f>
        <v>#DIV/0!</v>
      </c>
    </row>
    <row r="8" spans="1:3" ht="17" thickBot="1" x14ac:dyDescent="0.25">
      <c r="A8" s="301" t="str">
        <f>'Counts for summary'!B15</f>
        <v>Medical/Surgical Ward</v>
      </c>
      <c r="B8" s="302">
        <f>'Counts for summary'!C15</f>
        <v>0</v>
      </c>
      <c r="C8" s="303" t="e">
        <f>B8/(SUM(B5:B14))</f>
        <v>#DIV/0!</v>
      </c>
    </row>
    <row r="9" spans="1:3" ht="17" thickBot="1" x14ac:dyDescent="0.25">
      <c r="A9" s="301" t="str">
        <f>'Counts for summary'!B16</f>
        <v>Neonatal/Pediatric</v>
      </c>
      <c r="B9" s="302">
        <f>'Counts for summary'!C16</f>
        <v>0</v>
      </c>
      <c r="C9" s="303" t="e">
        <f>B9/SUM(B5:B14)</f>
        <v>#DIV/0!</v>
      </c>
    </row>
    <row r="10" spans="1:3" ht="17" thickBot="1" x14ac:dyDescent="0.25">
      <c r="A10" s="301" t="str">
        <f>'Counts for summary'!B17</f>
        <v>Obstetrical Unit</v>
      </c>
      <c r="B10" s="302">
        <f>'Counts for summary'!C17</f>
        <v>0</v>
      </c>
      <c r="C10" s="303" t="e">
        <f>B10/(SUM(B5:B14))</f>
        <v>#DIV/0!</v>
      </c>
    </row>
    <row r="11" spans="1:3" ht="17" thickBot="1" x14ac:dyDescent="0.25">
      <c r="A11" s="301" t="str">
        <f>'Counts for summary'!B18</f>
        <v>Operating Room</v>
      </c>
      <c r="B11" s="302">
        <f>'Counts for summary'!C18</f>
        <v>0</v>
      </c>
      <c r="C11" s="303" t="e">
        <f>B11/(SUM(B5:B14))</f>
        <v>#DIV/0!</v>
      </c>
    </row>
    <row r="12" spans="1:3" ht="17" thickBot="1" x14ac:dyDescent="0.25">
      <c r="A12" s="301" t="str">
        <f>'Counts for summary'!B19</f>
        <v>Outpatient Clinic</v>
      </c>
      <c r="B12" s="302">
        <f>'Counts for summary'!C19</f>
        <v>0</v>
      </c>
      <c r="C12" s="303" t="e">
        <f>B12/((SUM(B5:B14)))</f>
        <v>#DIV/0!</v>
      </c>
    </row>
    <row r="13" spans="1:3" ht="17" thickBot="1" x14ac:dyDescent="0.25">
      <c r="A13" s="301" t="str">
        <f>'Counts for summary'!B20</f>
        <v>Post Anesthetic Care Unit</v>
      </c>
      <c r="B13" s="302">
        <f>'Counts for summary'!C20</f>
        <v>0</v>
      </c>
      <c r="C13" s="304" t="e">
        <f>B13/(SUM(B5:B14))</f>
        <v>#DIV/0!</v>
      </c>
    </row>
    <row r="14" spans="1:3" ht="17" thickBot="1" x14ac:dyDescent="0.25">
      <c r="A14" s="301" t="str">
        <f>'Counts for summary'!B21</f>
        <v>Other</v>
      </c>
      <c r="B14" s="302">
        <f>'Counts for summary'!C21</f>
        <v>0</v>
      </c>
      <c r="C14" s="304" t="e">
        <f>B14/(SUM(B5:B14))</f>
        <v>#DIV/0!</v>
      </c>
    </row>
    <row r="20" spans="1:3" x14ac:dyDescent="0.2">
      <c r="B20" t="s">
        <v>331</v>
      </c>
    </row>
    <row r="22" spans="1:3" ht="16" thickBot="1" x14ac:dyDescent="0.25">
      <c r="A22" s="188" t="s">
        <v>332</v>
      </c>
    </row>
    <row r="23" spans="1:3" ht="16" thickBot="1" x14ac:dyDescent="0.25">
      <c r="A23" s="9" t="s">
        <v>330</v>
      </c>
      <c r="B23" s="305" t="s">
        <v>325</v>
      </c>
      <c r="C23" s="305" t="s">
        <v>326</v>
      </c>
    </row>
    <row r="24" spans="1:3" ht="16" thickBot="1" x14ac:dyDescent="0.25">
      <c r="A24" s="294" t="str">
        <f>'Counts for summary'!E12</f>
        <v>Chronic Care/Rehabilitation</v>
      </c>
      <c r="B24" s="302">
        <f>'Counts for summary'!F12</f>
        <v>0</v>
      </c>
      <c r="C24" s="303" t="e">
        <f>B24/(SUM(B24:B33))</f>
        <v>#DIV/0!</v>
      </c>
    </row>
    <row r="25" spans="1:3" ht="16" thickBot="1" x14ac:dyDescent="0.25">
      <c r="A25" s="294" t="str">
        <f>'Counts for summary'!E13</f>
        <v>Emergency</v>
      </c>
      <c r="B25" s="302">
        <f>'Counts for summary'!F13</f>
        <v>0</v>
      </c>
      <c r="C25" s="303" t="e">
        <f>B25/(SUM(B24:B33))</f>
        <v>#DIV/0!</v>
      </c>
    </row>
    <row r="26" spans="1:3" ht="16" thickBot="1" x14ac:dyDescent="0.25">
      <c r="A26" s="294" t="str">
        <f>'Counts for summary'!E14</f>
        <v>Intensive/Cardiac Care Unit</v>
      </c>
      <c r="B26" s="302">
        <f>'Counts for summary'!F14</f>
        <v>0</v>
      </c>
      <c r="C26" s="303" t="e">
        <f>B26/(SUM(B24:B33))</f>
        <v>#DIV/0!</v>
      </c>
    </row>
    <row r="27" spans="1:3" ht="16" thickBot="1" x14ac:dyDescent="0.25">
      <c r="A27" s="294" t="str">
        <f>'Counts for summary'!E15</f>
        <v>Medical/Surgical Ward</v>
      </c>
      <c r="B27" s="302">
        <f>'Counts for summary'!F15</f>
        <v>0</v>
      </c>
      <c r="C27" s="303" t="e">
        <f>B27/(SUM(B24:B33))</f>
        <v>#DIV/0!</v>
      </c>
    </row>
    <row r="28" spans="1:3" ht="16" thickBot="1" x14ac:dyDescent="0.25">
      <c r="A28" s="294" t="str">
        <f>'Counts for summary'!E16</f>
        <v>Neonatal/Pediatric</v>
      </c>
      <c r="B28" s="302">
        <f>'Counts for summary'!F16</f>
        <v>0</v>
      </c>
      <c r="C28" s="303" t="e">
        <f>B28/SUM(B24:B33)</f>
        <v>#DIV/0!</v>
      </c>
    </row>
    <row r="29" spans="1:3" ht="16" thickBot="1" x14ac:dyDescent="0.25">
      <c r="A29" s="294" t="str">
        <f>'Counts for summary'!E17</f>
        <v>Obstetrical Unit</v>
      </c>
      <c r="B29" s="302">
        <f>'Counts for summary'!F17</f>
        <v>0</v>
      </c>
      <c r="C29" s="303" t="e">
        <f>B29/(SUM(B24:B33))</f>
        <v>#DIV/0!</v>
      </c>
    </row>
    <row r="30" spans="1:3" ht="16" thickBot="1" x14ac:dyDescent="0.25">
      <c r="A30" s="294" t="str">
        <f>'Counts for summary'!E18</f>
        <v>Operating Room</v>
      </c>
      <c r="B30" s="302">
        <f>'Counts for summary'!F18</f>
        <v>0</v>
      </c>
      <c r="C30" s="303" t="e">
        <f>B30/(SUM(B24:B33))</f>
        <v>#DIV/0!</v>
      </c>
    </row>
    <row r="31" spans="1:3" ht="16" thickBot="1" x14ac:dyDescent="0.25">
      <c r="A31" s="294" t="str">
        <f>'Counts for summary'!E19</f>
        <v>Outpatient Clinic</v>
      </c>
      <c r="B31" s="302">
        <f>'Counts for summary'!F19</f>
        <v>0</v>
      </c>
      <c r="C31" s="303" t="e">
        <f>B31/((SUM(B24:B33)))</f>
        <v>#DIV/0!</v>
      </c>
    </row>
    <row r="32" spans="1:3" ht="16" thickBot="1" x14ac:dyDescent="0.25">
      <c r="A32" s="294" t="str">
        <f>'Counts for summary'!E20</f>
        <v>Post Anesthetic Care Unit</v>
      </c>
      <c r="B32" s="302">
        <f>'Counts for summary'!F20</f>
        <v>0</v>
      </c>
      <c r="C32" s="304" t="e">
        <f>B32/(SUM(B24:B33))</f>
        <v>#DIV/0!</v>
      </c>
    </row>
    <row r="33" spans="1:3" ht="16" thickBot="1" x14ac:dyDescent="0.25">
      <c r="A33" s="294" t="str">
        <f>'Counts for summary'!E21</f>
        <v>Other</v>
      </c>
      <c r="B33" s="302">
        <f>'Counts for summary'!F21</f>
        <v>0</v>
      </c>
      <c r="C33" s="304" t="e">
        <f>B33/(SUM(B24:B33))</f>
        <v>#DIV/0!</v>
      </c>
    </row>
    <row r="44" spans="1:3" x14ac:dyDescent="0.2">
      <c r="A44" s="188"/>
    </row>
    <row r="46" spans="1:3" ht="16" thickBot="1" x14ac:dyDescent="0.25">
      <c r="A46" s="317" t="s">
        <v>333</v>
      </c>
    </row>
    <row r="47" spans="1:3" ht="16" thickBot="1" x14ac:dyDescent="0.25">
      <c r="A47" s="9" t="s">
        <v>330</v>
      </c>
      <c r="B47" s="24" t="s">
        <v>325</v>
      </c>
      <c r="C47" s="24" t="s">
        <v>326</v>
      </c>
    </row>
    <row r="48" spans="1:3" ht="16" thickBot="1" x14ac:dyDescent="0.25">
      <c r="A48" s="294" t="str">
        <f>'Counts for summary'!G12</f>
        <v>Chronic Care/Rehabilitation</v>
      </c>
      <c r="B48" s="302">
        <f>'Counts for summary'!H12</f>
        <v>0</v>
      </c>
      <c r="C48" s="303" t="e">
        <f>B48/(SUM(B48:B57))</f>
        <v>#DIV/0!</v>
      </c>
    </row>
    <row r="49" spans="1:3" ht="16" thickBot="1" x14ac:dyDescent="0.25">
      <c r="A49" s="294" t="str">
        <f>'Counts for summary'!G13</f>
        <v>Emergency</v>
      </c>
      <c r="B49" s="302">
        <f>'Counts for summary'!H13</f>
        <v>0</v>
      </c>
      <c r="C49" s="303" t="e">
        <f>B49/(SUM(B48:B57))</f>
        <v>#DIV/0!</v>
      </c>
    </row>
    <row r="50" spans="1:3" ht="16" thickBot="1" x14ac:dyDescent="0.25">
      <c r="A50" s="294" t="str">
        <f>'Counts for summary'!G14</f>
        <v>Intensive/Cardiac Care Unit</v>
      </c>
      <c r="B50" s="302">
        <f>'Counts for summary'!H14</f>
        <v>0</v>
      </c>
      <c r="C50" s="303" t="e">
        <f>B50/(SUM(B48:B57))</f>
        <v>#DIV/0!</v>
      </c>
    </row>
    <row r="51" spans="1:3" ht="16" thickBot="1" x14ac:dyDescent="0.25">
      <c r="A51" s="294" t="str">
        <f>'Counts for summary'!G15</f>
        <v>Medical/Surgical Ward</v>
      </c>
      <c r="B51" s="302">
        <f>'Counts for summary'!H15</f>
        <v>0</v>
      </c>
      <c r="C51" s="303" t="e">
        <f>B51/(SUM(B48:B57))</f>
        <v>#DIV/0!</v>
      </c>
    </row>
    <row r="52" spans="1:3" ht="16" thickBot="1" x14ac:dyDescent="0.25">
      <c r="A52" s="294" t="str">
        <f>'Counts for summary'!G16</f>
        <v>Neonatal/Pediatric</v>
      </c>
      <c r="B52" s="302">
        <f>'Counts for summary'!H16</f>
        <v>0</v>
      </c>
      <c r="C52" s="303" t="e">
        <f>B52/SUM(B48:B57)</f>
        <v>#DIV/0!</v>
      </c>
    </row>
    <row r="53" spans="1:3" ht="16" thickBot="1" x14ac:dyDescent="0.25">
      <c r="A53" s="294" t="str">
        <f>'Counts for summary'!G17</f>
        <v>Obstetrical Unit</v>
      </c>
      <c r="B53" s="302">
        <f>'Counts for summary'!H17</f>
        <v>0</v>
      </c>
      <c r="C53" s="303" t="e">
        <f>B53/(SUM(B48:B57))</f>
        <v>#DIV/0!</v>
      </c>
    </row>
    <row r="54" spans="1:3" ht="16" thickBot="1" x14ac:dyDescent="0.25">
      <c r="A54" s="294" t="str">
        <f>'Counts for summary'!G18</f>
        <v>Operating Room</v>
      </c>
      <c r="B54" s="302">
        <f>'Counts for summary'!H18</f>
        <v>0</v>
      </c>
      <c r="C54" s="303" t="e">
        <f>B54/(SUM(B48:B57))</f>
        <v>#DIV/0!</v>
      </c>
    </row>
    <row r="55" spans="1:3" ht="16" thickBot="1" x14ac:dyDescent="0.25">
      <c r="A55" s="294" t="str">
        <f>'Counts for summary'!G19</f>
        <v>Outpatient Clinic</v>
      </c>
      <c r="B55" s="302">
        <f>'Counts for summary'!H19</f>
        <v>0</v>
      </c>
      <c r="C55" s="303" t="e">
        <f>B55/((SUM(B48:B57)))</f>
        <v>#DIV/0!</v>
      </c>
    </row>
    <row r="56" spans="1:3" ht="16" thickBot="1" x14ac:dyDescent="0.25">
      <c r="A56" s="294" t="str">
        <f>'Counts for summary'!G20</f>
        <v>Post Anesthetic Care Unit</v>
      </c>
      <c r="B56" s="302">
        <f>'Counts for summary'!H20</f>
        <v>0</v>
      </c>
      <c r="C56" s="304" t="e">
        <f>B56/(SUM(B48:B57))</f>
        <v>#DIV/0!</v>
      </c>
    </row>
    <row r="57" spans="1:3" ht="16" thickBot="1" x14ac:dyDescent="0.25">
      <c r="A57" s="294" t="str">
        <f>'Counts for summary'!G21</f>
        <v>Other</v>
      </c>
      <c r="B57" s="302">
        <f>'Counts for summary'!H21</f>
        <v>0</v>
      </c>
      <c r="C57" s="304" t="e">
        <f>B57/(SUM(B48:B57))</f>
        <v>#DIV/0!</v>
      </c>
    </row>
  </sheetData>
  <sheetProtection algorithmName="SHA-512" hashValue="SPwrCHmyWxyGzetGLoYzLlmyk8kEXMykKsfKrplsHP77eTZMd2Ul4XWZLvjtCwiNl0PTbfNLIYij+Z18aksYZw==" saltValue="I6aTka2R0ckLH3heRdoGrw=="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12B78-BB06-4A37-B0E0-80155E82147A}">
  <sheetPr codeName="Sheet9"/>
  <dimension ref="A1:C8"/>
  <sheetViews>
    <sheetView workbookViewId="0">
      <selection activeCell="M11" sqref="M11"/>
    </sheetView>
  </sheetViews>
  <sheetFormatPr baseColWidth="10" defaultColWidth="8.83203125" defaultRowHeight="15" x14ac:dyDescent="0.2"/>
  <cols>
    <col min="1" max="1" width="22.5" customWidth="1"/>
  </cols>
  <sheetData>
    <row r="1" spans="1:3" x14ac:dyDescent="0.2">
      <c r="A1" s="9" t="s">
        <v>334</v>
      </c>
    </row>
    <row r="2" spans="1:3" ht="17" customHeight="1" x14ac:dyDescent="0.2">
      <c r="A2" s="9"/>
    </row>
    <row r="3" spans="1:3" ht="16" thickBot="1" x14ac:dyDescent="0.25"/>
    <row r="4" spans="1:3" x14ac:dyDescent="0.2">
      <c r="A4" s="9" t="s">
        <v>335</v>
      </c>
      <c r="B4" s="13" t="s">
        <v>325</v>
      </c>
      <c r="C4" s="14" t="s">
        <v>326</v>
      </c>
    </row>
    <row r="5" spans="1:3" x14ac:dyDescent="0.2">
      <c r="A5" s="294" t="s">
        <v>336</v>
      </c>
      <c r="B5" s="296">
        <f>'Counts for summary'!B3</f>
        <v>0</v>
      </c>
      <c r="C5" s="297" t="e">
        <f>B5/(SUM(B5:B8))</f>
        <v>#DIV/0!</v>
      </c>
    </row>
    <row r="6" spans="1:3" x14ac:dyDescent="0.2">
      <c r="A6" s="294" t="s">
        <v>337</v>
      </c>
      <c r="B6" s="296">
        <f>'Counts for summary'!B4</f>
        <v>0</v>
      </c>
      <c r="C6" s="297" t="e">
        <f>B6/(SUM(B5:B9))</f>
        <v>#DIV/0!</v>
      </c>
    </row>
    <row r="7" spans="1:3" x14ac:dyDescent="0.2">
      <c r="A7" s="294" t="s">
        <v>338</v>
      </c>
      <c r="B7" s="296">
        <f>'Counts for summary'!B5</f>
        <v>0</v>
      </c>
      <c r="C7" s="297" t="e">
        <f>B7/(SUM(B5:B10))</f>
        <v>#DIV/0!</v>
      </c>
    </row>
    <row r="8" spans="1:3" ht="16" thickBot="1" x14ac:dyDescent="0.25">
      <c r="A8" s="294" t="s">
        <v>339</v>
      </c>
      <c r="B8" s="298">
        <f>'Counts for summary'!B6</f>
        <v>0</v>
      </c>
      <c r="C8" s="299" t="e">
        <f>B8/(SUM(B3:B8))</f>
        <v>#DIV/0!</v>
      </c>
    </row>
  </sheetData>
  <sheetProtection algorithmName="SHA-512" hashValue="cVR3dGT3vvWGC7HqJsts6u341qTKSeJJZauiHmHx6MU4YOvB+X/xAXNcS2zgbBU6SiVJZb1Ae/2AiARqrZgJOg==" saltValue="9QPGRVKOJL22kBRWWe8TrQ=="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3D2CC-9DE6-4330-B36D-1806998B2E83}">
  <sheetPr codeName="Sheet10"/>
  <dimension ref="A1:C9"/>
  <sheetViews>
    <sheetView workbookViewId="0">
      <selection activeCell="A21" sqref="A21"/>
    </sheetView>
  </sheetViews>
  <sheetFormatPr baseColWidth="10" defaultColWidth="8.83203125" defaultRowHeight="15" x14ac:dyDescent="0.2"/>
  <cols>
    <col min="1" max="1" width="36.83203125" bestFit="1" customWidth="1"/>
  </cols>
  <sheetData>
    <row r="1" spans="1:3" x14ac:dyDescent="0.2">
      <c r="A1" s="9" t="s">
        <v>340</v>
      </c>
    </row>
    <row r="2" spans="1:3" ht="17" customHeight="1" x14ac:dyDescent="0.2">
      <c r="A2" s="9"/>
    </row>
    <row r="3" spans="1:3" ht="16" thickBot="1" x14ac:dyDescent="0.25"/>
    <row r="4" spans="1:3" x14ac:dyDescent="0.2">
      <c r="A4" s="9" t="s">
        <v>341</v>
      </c>
      <c r="B4" s="306" t="s">
        <v>325</v>
      </c>
      <c r="C4" s="25" t="s">
        <v>326</v>
      </c>
    </row>
    <row r="5" spans="1:3" x14ac:dyDescent="0.2">
      <c r="A5" s="12" t="str">
        <f>'Counts for summary'!C3</f>
        <v>Albumin</v>
      </c>
      <c r="B5" s="26">
        <f>'Counts for summary'!D3</f>
        <v>0</v>
      </c>
      <c r="C5" s="27" t="e">
        <f>B5/(SUM(B5:B9))</f>
        <v>#DIV/0!</v>
      </c>
    </row>
    <row r="6" spans="1:3" x14ac:dyDescent="0.2">
      <c r="A6" s="12" t="str">
        <f>'Counts for summary'!C4</f>
        <v>Fibringen Concentrate</v>
      </c>
      <c r="B6" s="26">
        <f>'Counts for summary'!D4</f>
        <v>0</v>
      </c>
      <c r="C6" s="27" t="e">
        <f>B6/(SUM(B5:B9))</f>
        <v>#DIV/0!</v>
      </c>
    </row>
    <row r="7" spans="1:3" x14ac:dyDescent="0.2">
      <c r="A7" s="12" t="str">
        <f>'Counts for summary'!C5</f>
        <v>Intravenous Immune Globulin</v>
      </c>
      <c r="B7" s="26">
        <f>'Counts for summary'!D5</f>
        <v>0</v>
      </c>
      <c r="C7" s="27" t="e">
        <f>B7/(SUM(B5:B9))</f>
        <v>#DIV/0!</v>
      </c>
    </row>
    <row r="8" spans="1:3" x14ac:dyDescent="0.2">
      <c r="A8" s="12" t="str">
        <f>'Counts for summary'!C6</f>
        <v>Prothrombin Complex Concentrate</v>
      </c>
      <c r="B8" s="26">
        <f>'Counts for summary'!D6</f>
        <v>0</v>
      </c>
      <c r="C8" s="27" t="e">
        <f>B8/(SUM(B3:B8))</f>
        <v>#DIV/0!</v>
      </c>
    </row>
    <row r="9" spans="1:3" ht="16" thickBot="1" x14ac:dyDescent="0.25">
      <c r="A9" s="12" t="str">
        <f>'Counts for summary'!C7</f>
        <v>Other</v>
      </c>
      <c r="B9" s="28">
        <f>'Counts for summary'!D7</f>
        <v>0</v>
      </c>
      <c r="C9" s="29" t="e">
        <f>B9/(SUM(B5:B9))</f>
        <v>#DIV/0!</v>
      </c>
    </row>
  </sheetData>
  <sheetProtection algorithmName="SHA-512" hashValue="AXLv30RqyGwvWHbLhyhO3owljsK99LwNQuUQnC08oEnx+dQd+4Ap/QhE9J6+spKpn/sm0mw5uKldV5pOxhEMMQ==" saltValue="J4VXshsDR/u09fx/Qlw0nQ=="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31CF5BA02EE143B955595FC0AE78B5" ma:contentTypeVersion="17" ma:contentTypeDescription="Create a new document." ma:contentTypeScope="" ma:versionID="4ff3243e37025d44694070b7e61f89a5">
  <xsd:schema xmlns:xsd="http://www.w3.org/2001/XMLSchema" xmlns:xs="http://www.w3.org/2001/XMLSchema" xmlns:p="http://schemas.microsoft.com/office/2006/metadata/properties" xmlns:ns2="d48be856-c7f1-4635-82b4-0c4613e2828b" xmlns:ns3="4e6f82ca-b42d-4b7b-8f6e-19b22d4ac511" targetNamespace="http://schemas.microsoft.com/office/2006/metadata/properties" ma:root="true" ma:fieldsID="5ef9fb71d328d149e5512ed28a907bd5" ns2:_="" ns3:_="">
    <xsd:import namespace="d48be856-c7f1-4635-82b4-0c4613e2828b"/>
    <xsd:import namespace="4e6f82ca-b42d-4b7b-8f6e-19b22d4ac5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8be856-c7f1-4635-82b4-0c4613e282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533b5efa-92df-47b6-aa84-1af3545402cf"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6f82ca-b42d-4b7b-8f6e-19b22d4ac51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170f753-a557-4e7f-9081-f522dea6e5d9}" ma:internalName="TaxCatchAll" ma:showField="CatchAllData" ma:web="4e6f82ca-b42d-4b7b-8f6e-19b22d4ac51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8be856-c7f1-4635-82b4-0c4613e2828b">
      <Terms xmlns="http://schemas.microsoft.com/office/infopath/2007/PartnerControls"/>
    </lcf76f155ced4ddcb4097134ff3c332f>
    <TaxCatchAll xmlns="4e6f82ca-b42d-4b7b-8f6e-19b22d4ac511" xsi:nil="true"/>
  </documentManagement>
</p:properties>
</file>

<file path=customXml/itemProps1.xml><?xml version="1.0" encoding="utf-8"?>
<ds:datastoreItem xmlns:ds="http://schemas.openxmlformats.org/officeDocument/2006/customXml" ds:itemID="{6F476D3D-3802-4D01-B416-D12A2E7D7636}">
  <ds:schemaRefs>
    <ds:schemaRef ds:uri="http://schemas.microsoft.com/sharepoint/v3/contenttype/forms"/>
  </ds:schemaRefs>
</ds:datastoreItem>
</file>

<file path=customXml/itemProps2.xml><?xml version="1.0" encoding="utf-8"?>
<ds:datastoreItem xmlns:ds="http://schemas.openxmlformats.org/officeDocument/2006/customXml" ds:itemID="{69443B93-39FB-4ECC-959B-AD7BBB2C2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8be856-c7f1-4635-82b4-0c4613e2828b"/>
    <ds:schemaRef ds:uri="4e6f82ca-b42d-4b7b-8f6e-19b22d4ac5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28DB36-F477-4E4F-83A9-659900CA5329}">
  <ds:schemaRefs>
    <ds:schemaRef ds:uri="http://www.w3.org/XML/1998/namespace"/>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4e6f82ca-b42d-4b7b-8f6e-19b22d4ac511"/>
    <ds:schemaRef ds:uri="d48be856-c7f1-4635-82b4-0c4613e2828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Raw data</vt:lpstr>
      <vt:lpstr>Counts for summary</vt:lpstr>
      <vt:lpstr>Component compliance summary</vt:lpstr>
      <vt:lpstr>Component compliance</vt:lpstr>
      <vt:lpstr>Component compliance per ward</vt:lpstr>
      <vt:lpstr>Transfusion priority</vt:lpstr>
      <vt:lpstr>Ward Area</vt:lpstr>
      <vt:lpstr>Component type</vt:lpstr>
      <vt:lpstr>Product 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B</dc:creator>
  <cp:keywords/>
  <dc:description/>
  <cp:lastModifiedBy>Ruth</cp:lastModifiedBy>
  <cp:revision/>
  <dcterms:created xsi:type="dcterms:W3CDTF">2022-08-25T17:45:56Z</dcterms:created>
  <dcterms:modified xsi:type="dcterms:W3CDTF">2024-02-26T16:45:56Z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0x010100C331CF5BA02EE143B955595FC0AE78B5</vt:lpwstr>
  </property>
  <property fmtid="{D5CDD505-2E9C-101B-9397-08002B2CF9AE}" pid="3" name="MediaServiceImageTags">
    <vt:lpwstr/>
  </property>
</Properties>
</file>